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filterPrivacy="1" codeName="ThisWorkbook" defaultThemeVersion="124226"/>
  <xr:revisionPtr revIDLastSave="0" documentId="8_{45622A1D-B525-E44A-B934-7D252770B206}" xr6:coauthVersionLast="47" xr6:coauthVersionMax="47" xr10:uidLastSave="{00000000-0000-0000-0000-000000000000}"/>
  <bookViews>
    <workbookView xWindow="-110" yWindow="-110" windowWidth="19420" windowHeight="10420" tabRatio="601" firstSheet="1" activeTab="2" xr2:uid="{00000000-000D-0000-FFFF-FFFF00000000}"/>
  </bookViews>
  <sheets>
    <sheet name="Note for users" sheetId="82" r:id="rId1"/>
    <sheet name="1.Project Cost and MOF" sheetId="62" r:id="rId2"/>
    <sheet name="2.Capex Details" sheetId="57" r:id="rId3"/>
    <sheet name="3.Other Exp &amp; Taxes" sheetId="22" r:id="rId4"/>
    <sheet name="Sheet1" sheetId="86" r:id="rId5"/>
    <sheet name="4.TL repayment sch" sheetId="23" r:id="rId6"/>
    <sheet name="5.Closing Stock &amp; W Capital" sheetId="61" r:id="rId7"/>
    <sheet name="6.Cons Profit &amp; Loss" sheetId="21" r:id="rId8"/>
    <sheet name="7.Balance Sheet" sheetId="69" r:id="rId9"/>
    <sheet name="8.Cash Flow " sheetId="68" r:id="rId10"/>
    <sheet name="9.1 Financial indiacators" sheetId="29" r:id="rId11"/>
    <sheet name="10.Grain Production details" sheetId="81" r:id="rId12"/>
    <sheet name="11.F&amp;V Crop Production details" sheetId="83" r:id="rId13"/>
    <sheet name="12.Facility 1 - Trading" sheetId="55" r:id="rId14"/>
    <sheet name="13.Facility 2 Grain Processing" sheetId="72" r:id="rId15"/>
    <sheet name="14. Facility 3 Warehouse" sheetId="42" r:id="rId16"/>
    <sheet name="15. Facility 4 Custom Hiring" sheetId="48" r:id="rId17"/>
    <sheet name="16.Facility 5 Agri Input" sheetId="53" r:id="rId18"/>
    <sheet name="17.Facility 6 Horti Processing " sheetId="84" r:id="rId19"/>
    <sheet name="VGF" sheetId="85" r:id="rId20"/>
    <sheet name="Output" sheetId="87" r:id="rId21"/>
    <sheet name="Sheet2" sheetId="88" state="hidden" r:id="rId22"/>
    <sheet name="Benefit to farmer" sheetId="89" r:id="rId23"/>
    <sheet name="Sheet3" sheetId="90" state="hidden" r:id="rId24"/>
    <sheet name="New Production" sheetId="91" r:id="rId25"/>
  </sheets>
  <externalReferences>
    <externalReference r:id="rId26"/>
    <externalReference r:id="rId27"/>
    <externalReference r:id="rId28"/>
    <externalReference r:id="rId29"/>
    <externalReference r:id="rId30"/>
    <externalReference r:id="rId31"/>
  </externalReferences>
  <definedNames>
    <definedName name="_Fill" hidden="1">#REF!</definedName>
    <definedName name="_IRR2">'[1]Balance Sheet'!$G$35:$G$35</definedName>
    <definedName name="A">#REF!</definedName>
    <definedName name="Admin">'[2]Balance Sheet'!#REF!</definedName>
    <definedName name="ANNEXA">#REF!</definedName>
    <definedName name="ANNEXB">#REF!</definedName>
    <definedName name="ANNEXC">#REF!</definedName>
    <definedName name="ANNEXD">#REF!</definedName>
    <definedName name="ANNEXE">#REF!</definedName>
    <definedName name="ANNEXF">#REF!</definedName>
    <definedName name="ANNEXG">#REF!</definedName>
    <definedName name="ANNEXH">#REF!</definedName>
    <definedName name="ANNEXI">#REF!</definedName>
    <definedName name="ANNEXJ">#REF!</definedName>
    <definedName name="b">'[3]Balance Sheet'!#REF!</definedName>
    <definedName name="bb">'[4]Balance Sheet'!$B$35:$B$35</definedName>
    <definedName name="FORM1">#REF!</definedName>
    <definedName name="FORM2A">#REF!</definedName>
    <definedName name="FORM2B">#REF!</definedName>
    <definedName name="FORM3A">#REF!</definedName>
    <definedName name="FORM3B">#REF!</definedName>
    <definedName name="FORM3C">#REF!</definedName>
    <definedName name="FORM3D">#REF!</definedName>
    <definedName name="FORM4A">#REF!</definedName>
    <definedName name="FORM4B">#REF!</definedName>
    <definedName name="FORM5">#REF!</definedName>
    <definedName name="FORM6A">#REF!</definedName>
    <definedName name="FORM6B">#REF!</definedName>
    <definedName name="interest">#REF!</definedName>
    <definedName name="_xlnm.Print_Area" localSheetId="1">'1.Project Cost and MOF'!$A$1:$F$35</definedName>
    <definedName name="_xlnm.Print_Area" localSheetId="11">'10.Grain Production details'!$A$1:$Z$114</definedName>
    <definedName name="_xlnm.Print_Area" localSheetId="12">'11.F&amp;V Crop Production details'!$A$1:$Z$127</definedName>
    <definedName name="_xlnm.Print_Area" localSheetId="13">'12.Facility 1 - Trading'!$A$1:$J$228</definedName>
    <definedName name="_xlnm.Print_Area" localSheetId="14">'13.Facility 2 Grain Processing'!$A$3:$J$187</definedName>
    <definedName name="_xlnm.Print_Area" localSheetId="15">'14. Facility 3 Warehouse'!$A$1:$K$51</definedName>
    <definedName name="_xlnm.Print_Area" localSheetId="16">'15. Facility 4 Custom Hiring'!$A$1:$U$58</definedName>
    <definedName name="_xlnm.Print_Area" localSheetId="17">'16.Facility 5 Agri Input'!$A$1:$J$281</definedName>
    <definedName name="_xlnm.Print_Area" localSheetId="18">'17.Facility 6 Horti Processing '!$A$1:$J$192</definedName>
    <definedName name="_xlnm.Print_Area" localSheetId="2">'2.Capex Details'!$A$1:$H$173</definedName>
    <definedName name="_xlnm.Print_Area" localSheetId="3">'3.Other Exp &amp; Taxes'!$A$1:$R$106</definedName>
    <definedName name="_xlnm.Print_Area" localSheetId="5">'4.TL repayment sch'!$A$1:$H$95</definedName>
    <definedName name="_xlnm.Print_Area" localSheetId="6">'5.Closing Stock &amp; W Capital'!$A$1:$L$60</definedName>
    <definedName name="_xlnm.Print_Area" localSheetId="7">'6.Cons Profit &amp; Loss'!$A$1:$I$61</definedName>
    <definedName name="_xlnm.Print_Area" localSheetId="8">'7.Balance Sheet'!$A$1:$I$50</definedName>
    <definedName name="_xlnm.Print_Area" localSheetId="9">'8.Cash Flow '!$A$1:$J$39</definedName>
    <definedName name="_xlnm.Print_Area" localSheetId="10">'9.1 Financial indiacators'!$B$1:$M$186</definedName>
    <definedName name="_xlnm.Print_Area" localSheetId="22">'Benefit to farmer'!$A$1:$D$34</definedName>
    <definedName name="Q">#REF!</definedName>
    <definedName name="rate1">#REF!</definedName>
    <definedName name="rate2">#REF!</definedName>
    <definedName name="rate3">#REF!</definedName>
    <definedName name="rate4">#REF!</definedName>
    <definedName name="X">#REF!</definedName>
    <definedName name="Z">#REF!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2" i="62" l="1"/>
  <c r="E64" i="86"/>
  <c r="F64" i="86"/>
  <c r="C64" i="86"/>
  <c r="F7" i="57"/>
  <c r="F8" i="57"/>
  <c r="C74" i="86"/>
  <c r="C73" i="86"/>
  <c r="C72" i="86"/>
  <c r="C71" i="86"/>
  <c r="C70" i="86"/>
  <c r="C69" i="86"/>
  <c r="E65" i="86"/>
  <c r="E63" i="86"/>
  <c r="C68" i="86"/>
  <c r="C67" i="86"/>
  <c r="C66" i="86"/>
  <c r="C65" i="86"/>
  <c r="C63" i="86"/>
  <c r="G66" i="57"/>
  <c r="G65" i="57"/>
  <c r="G64" i="57"/>
  <c r="G63" i="57"/>
  <c r="G62" i="57"/>
  <c r="C72" i="91"/>
  <c r="D72" i="91"/>
  <c r="E72" i="91"/>
  <c r="F72" i="91"/>
  <c r="G72" i="91"/>
  <c r="H72" i="91"/>
  <c r="C100" i="91"/>
  <c r="D100" i="91"/>
  <c r="E100" i="91"/>
  <c r="F100" i="91"/>
  <c r="G100" i="91"/>
  <c r="H100" i="91"/>
  <c r="C74" i="91"/>
  <c r="A70" i="91"/>
  <c r="A98" i="91"/>
  <c r="A126" i="91"/>
  <c r="A69" i="91"/>
  <c r="A97" i="91"/>
  <c r="A125" i="91"/>
  <c r="A68" i="91"/>
  <c r="A96" i="91"/>
  <c r="A124" i="91"/>
  <c r="A67" i="91"/>
  <c r="A95" i="91"/>
  <c r="A123" i="91"/>
  <c r="A66" i="91"/>
  <c r="A94" i="91"/>
  <c r="A122" i="91"/>
  <c r="A65" i="91"/>
  <c r="A93" i="91"/>
  <c r="A121" i="91"/>
  <c r="A64" i="91"/>
  <c r="A92" i="91"/>
  <c r="A120" i="91"/>
  <c r="A63" i="91"/>
  <c r="A91" i="91"/>
  <c r="A119" i="91"/>
  <c r="A62" i="91"/>
  <c r="A90" i="91"/>
  <c r="A118" i="91"/>
  <c r="A61" i="91"/>
  <c r="A89" i="91"/>
  <c r="A117" i="91"/>
  <c r="A60" i="91"/>
  <c r="A88" i="91"/>
  <c r="A116" i="91"/>
  <c r="A59" i="91"/>
  <c r="A87" i="91"/>
  <c r="A115" i="91"/>
  <c r="A58" i="91"/>
  <c r="A86" i="91"/>
  <c r="A114" i="91"/>
  <c r="A57" i="91"/>
  <c r="A85" i="91"/>
  <c r="A113" i="91"/>
  <c r="A56" i="91"/>
  <c r="A84" i="91"/>
  <c r="A112" i="91"/>
  <c r="A55" i="91"/>
  <c r="A83" i="91"/>
  <c r="A111" i="91"/>
  <c r="A54" i="91"/>
  <c r="A82" i="91"/>
  <c r="A110" i="91"/>
  <c r="A53" i="91"/>
  <c r="A81" i="91"/>
  <c r="A109" i="91"/>
  <c r="A52" i="91"/>
  <c r="A80" i="91"/>
  <c r="A108" i="91"/>
  <c r="A51" i="91"/>
  <c r="A79" i="91"/>
  <c r="A107" i="91"/>
  <c r="A50" i="91"/>
  <c r="A78" i="91"/>
  <c r="A106" i="91"/>
  <c r="A49" i="91"/>
  <c r="A77" i="91"/>
  <c r="A105" i="91"/>
  <c r="A48" i="91"/>
  <c r="A76" i="91"/>
  <c r="A104" i="91"/>
  <c r="A47" i="91"/>
  <c r="A75" i="91"/>
  <c r="A103" i="91"/>
  <c r="A46" i="91"/>
  <c r="A74" i="91"/>
  <c r="A102" i="91"/>
  <c r="C44" i="91"/>
  <c r="D44" i="91"/>
  <c r="E44" i="91"/>
  <c r="F44" i="91"/>
  <c r="G44" i="91"/>
  <c r="H44" i="91"/>
  <c r="V12" i="91"/>
  <c r="W12" i="91"/>
  <c r="X12" i="91"/>
  <c r="P12" i="91"/>
  <c r="Q12" i="91"/>
  <c r="R12" i="91"/>
  <c r="S12" i="91"/>
  <c r="T12" i="91"/>
  <c r="K12" i="91"/>
  <c r="L12" i="91"/>
  <c r="M12" i="91"/>
  <c r="N12" i="91"/>
  <c r="B7" i="91"/>
  <c r="B9" i="91"/>
  <c r="D39" i="91"/>
  <c r="D40" i="91"/>
  <c r="D20" i="91"/>
  <c r="D16" i="91"/>
  <c r="D38" i="91"/>
  <c r="C32" i="91"/>
  <c r="D22" i="91"/>
  <c r="D18" i="91"/>
  <c r="C23" i="91"/>
  <c r="D15" i="91"/>
  <c r="D37" i="91"/>
  <c r="D17" i="91"/>
  <c r="D19" i="91"/>
  <c r="D14" i="91"/>
  <c r="D21" i="91"/>
  <c r="C173" i="55"/>
  <c r="B107" i="91"/>
  <c r="C107" i="91"/>
  <c r="D107" i="91"/>
  <c r="E107" i="91"/>
  <c r="F107" i="91"/>
  <c r="G107" i="91"/>
  <c r="H107" i="91"/>
  <c r="F19" i="91"/>
  <c r="H19" i="91"/>
  <c r="D30" i="91"/>
  <c r="D26" i="91"/>
  <c r="D28" i="91"/>
  <c r="D24" i="91"/>
  <c r="D29" i="91"/>
  <c r="D31" i="91"/>
  <c r="D25" i="91"/>
  <c r="D27" i="91"/>
  <c r="B124" i="91"/>
  <c r="C124" i="91"/>
  <c r="D124" i="91"/>
  <c r="E124" i="91"/>
  <c r="F124" i="91"/>
  <c r="G124" i="91"/>
  <c r="H124" i="91"/>
  <c r="F38" i="91"/>
  <c r="H38" i="91"/>
  <c r="B125" i="91"/>
  <c r="C125" i="91"/>
  <c r="D125" i="91"/>
  <c r="E125" i="91"/>
  <c r="F125" i="91"/>
  <c r="G125" i="91"/>
  <c r="H125" i="91"/>
  <c r="F39" i="91"/>
  <c r="H39" i="91"/>
  <c r="B105" i="91"/>
  <c r="C105" i="91"/>
  <c r="D105" i="91"/>
  <c r="E105" i="91"/>
  <c r="F105" i="91"/>
  <c r="G105" i="91"/>
  <c r="H105" i="91"/>
  <c r="F17" i="91"/>
  <c r="H17" i="91"/>
  <c r="B106" i="91"/>
  <c r="C106" i="91"/>
  <c r="D106" i="91"/>
  <c r="E106" i="91"/>
  <c r="F106" i="91"/>
  <c r="G106" i="91"/>
  <c r="H106" i="91"/>
  <c r="F18" i="91"/>
  <c r="H18" i="91"/>
  <c r="B104" i="91"/>
  <c r="C104" i="91"/>
  <c r="D104" i="91"/>
  <c r="E104" i="91"/>
  <c r="F104" i="91"/>
  <c r="G104" i="91"/>
  <c r="H104" i="91"/>
  <c r="F16" i="91"/>
  <c r="H16" i="91"/>
  <c r="B109" i="91"/>
  <c r="C109" i="91"/>
  <c r="D109" i="91"/>
  <c r="E109" i="91"/>
  <c r="F109" i="91"/>
  <c r="G109" i="91"/>
  <c r="H109" i="91"/>
  <c r="F21" i="91"/>
  <c r="H21" i="91"/>
  <c r="B123" i="91"/>
  <c r="C123" i="91"/>
  <c r="D123" i="91"/>
  <c r="E123" i="91"/>
  <c r="F123" i="91"/>
  <c r="G123" i="91"/>
  <c r="H123" i="91"/>
  <c r="F37" i="91"/>
  <c r="H37" i="91"/>
  <c r="B110" i="91"/>
  <c r="C110" i="91"/>
  <c r="D110" i="91"/>
  <c r="E110" i="91"/>
  <c r="F110" i="91"/>
  <c r="G110" i="91"/>
  <c r="H110" i="91"/>
  <c r="F22" i="91"/>
  <c r="H22" i="91"/>
  <c r="B108" i="91"/>
  <c r="C108" i="91"/>
  <c r="D108" i="91"/>
  <c r="E108" i="91"/>
  <c r="F108" i="91"/>
  <c r="G108" i="91"/>
  <c r="H108" i="91"/>
  <c r="F20" i="91"/>
  <c r="H20" i="91"/>
  <c r="B102" i="91"/>
  <c r="C102" i="91"/>
  <c r="D102" i="91"/>
  <c r="E102" i="91"/>
  <c r="F102" i="91"/>
  <c r="G102" i="91"/>
  <c r="H102" i="91"/>
  <c r="L14" i="91"/>
  <c r="F74" i="91"/>
  <c r="F14" i="91"/>
  <c r="H14" i="91"/>
  <c r="N14" i="91"/>
  <c r="H74" i="91"/>
  <c r="M14" i="91"/>
  <c r="G74" i="91"/>
  <c r="K14" i="91"/>
  <c r="E74" i="91"/>
  <c r="J14" i="91"/>
  <c r="D74" i="91"/>
  <c r="B103" i="91"/>
  <c r="C103" i="91"/>
  <c r="D103" i="91"/>
  <c r="E103" i="91"/>
  <c r="F103" i="91"/>
  <c r="G103" i="91"/>
  <c r="H103" i="91"/>
  <c r="F15" i="91"/>
  <c r="H15" i="91"/>
  <c r="D36" i="91"/>
  <c r="D34" i="91"/>
  <c r="D35" i="91"/>
  <c r="D33" i="91"/>
  <c r="B126" i="91"/>
  <c r="C126" i="91"/>
  <c r="D126" i="91"/>
  <c r="E126" i="91"/>
  <c r="F126" i="91"/>
  <c r="G126" i="91"/>
  <c r="H126" i="91"/>
  <c r="F40" i="91"/>
  <c r="H40" i="91"/>
  <c r="G96" i="57"/>
  <c r="G97" i="57"/>
  <c r="G98" i="57"/>
  <c r="G99" i="57"/>
  <c r="G95" i="57"/>
  <c r="G100" i="57"/>
  <c r="E74" i="86"/>
  <c r="F74" i="86"/>
  <c r="B76" i="91"/>
  <c r="C76" i="91"/>
  <c r="D76" i="91"/>
  <c r="E76" i="91"/>
  <c r="F76" i="91"/>
  <c r="G76" i="91"/>
  <c r="H76" i="91"/>
  <c r="B48" i="91"/>
  <c r="C48" i="91"/>
  <c r="D48" i="91"/>
  <c r="E48" i="91"/>
  <c r="F48" i="91"/>
  <c r="G48" i="91"/>
  <c r="H48" i="91"/>
  <c r="B77" i="91"/>
  <c r="C77" i="91"/>
  <c r="D77" i="91"/>
  <c r="E77" i="91"/>
  <c r="F77" i="91"/>
  <c r="G77" i="91"/>
  <c r="H77" i="91"/>
  <c r="B49" i="91"/>
  <c r="C49" i="91"/>
  <c r="D49" i="91"/>
  <c r="E49" i="91"/>
  <c r="F49" i="91"/>
  <c r="G49" i="91"/>
  <c r="H49" i="91"/>
  <c r="B96" i="91"/>
  <c r="C96" i="91"/>
  <c r="D96" i="91"/>
  <c r="E96" i="91"/>
  <c r="F96" i="91"/>
  <c r="G96" i="91"/>
  <c r="H96" i="91"/>
  <c r="B68" i="91"/>
  <c r="C68" i="91"/>
  <c r="D68" i="91"/>
  <c r="E68" i="91"/>
  <c r="F68" i="91"/>
  <c r="G68" i="91"/>
  <c r="H68" i="91"/>
  <c r="B118" i="91"/>
  <c r="C118" i="91"/>
  <c r="D118" i="91"/>
  <c r="E118" i="91"/>
  <c r="F118" i="91"/>
  <c r="G118" i="91"/>
  <c r="H118" i="91"/>
  <c r="F31" i="91"/>
  <c r="H31" i="91"/>
  <c r="B113" i="91"/>
  <c r="C113" i="91"/>
  <c r="D113" i="91"/>
  <c r="E113" i="91"/>
  <c r="F113" i="91"/>
  <c r="G113" i="91"/>
  <c r="H113" i="91"/>
  <c r="F26" i="91"/>
  <c r="H26" i="91"/>
  <c r="B119" i="91"/>
  <c r="C119" i="91"/>
  <c r="D119" i="91"/>
  <c r="E119" i="91"/>
  <c r="F119" i="91"/>
  <c r="G119" i="91"/>
  <c r="H119" i="91"/>
  <c r="F33" i="91"/>
  <c r="H33" i="91"/>
  <c r="B80" i="91"/>
  <c r="C80" i="91"/>
  <c r="D80" i="91"/>
  <c r="E80" i="91"/>
  <c r="F80" i="91"/>
  <c r="G80" i="91"/>
  <c r="H80" i="91"/>
  <c r="B52" i="91"/>
  <c r="C52" i="91"/>
  <c r="D52" i="91"/>
  <c r="E52" i="91"/>
  <c r="F52" i="91"/>
  <c r="G52" i="91"/>
  <c r="H52" i="91"/>
  <c r="B95" i="91"/>
  <c r="C95" i="91"/>
  <c r="D95" i="91"/>
  <c r="E95" i="91"/>
  <c r="F95" i="91"/>
  <c r="G95" i="91"/>
  <c r="H95" i="91"/>
  <c r="B67" i="91"/>
  <c r="C67" i="91"/>
  <c r="D67" i="91"/>
  <c r="E67" i="91"/>
  <c r="F67" i="91"/>
  <c r="G67" i="91"/>
  <c r="H67" i="91"/>
  <c r="B98" i="91"/>
  <c r="C98" i="91"/>
  <c r="D98" i="91"/>
  <c r="E98" i="91"/>
  <c r="F98" i="91"/>
  <c r="G98" i="91"/>
  <c r="H98" i="91"/>
  <c r="B70" i="91"/>
  <c r="C70" i="91"/>
  <c r="D70" i="91"/>
  <c r="E70" i="91"/>
  <c r="F70" i="91"/>
  <c r="G70" i="91"/>
  <c r="H70" i="91"/>
  <c r="B120" i="91"/>
  <c r="C120" i="91"/>
  <c r="D120" i="91"/>
  <c r="E120" i="91"/>
  <c r="F120" i="91"/>
  <c r="G120" i="91"/>
  <c r="H120" i="91"/>
  <c r="F34" i="91"/>
  <c r="H34" i="91"/>
  <c r="B74" i="91"/>
  <c r="B46" i="91"/>
  <c r="C46" i="91"/>
  <c r="D46" i="91"/>
  <c r="E46" i="91"/>
  <c r="F46" i="91"/>
  <c r="G46" i="91"/>
  <c r="H46" i="91"/>
  <c r="B116" i="91"/>
  <c r="C116" i="91"/>
  <c r="D116" i="91"/>
  <c r="E116" i="91"/>
  <c r="F116" i="91"/>
  <c r="G116" i="91"/>
  <c r="H116" i="91"/>
  <c r="F29" i="91"/>
  <c r="H29" i="91"/>
  <c r="B117" i="91"/>
  <c r="C117" i="91"/>
  <c r="D117" i="91"/>
  <c r="E117" i="91"/>
  <c r="F117" i="91"/>
  <c r="G117" i="91"/>
  <c r="H117" i="91"/>
  <c r="F30" i="91"/>
  <c r="H30" i="91"/>
  <c r="B121" i="91"/>
  <c r="C121" i="91"/>
  <c r="D121" i="91"/>
  <c r="E121" i="91"/>
  <c r="F121" i="91"/>
  <c r="G121" i="91"/>
  <c r="H121" i="91"/>
  <c r="F35" i="91"/>
  <c r="H35" i="91"/>
  <c r="B122" i="91"/>
  <c r="C122" i="91"/>
  <c r="D122" i="91"/>
  <c r="E122" i="91"/>
  <c r="F122" i="91"/>
  <c r="G122" i="91"/>
  <c r="H122" i="91"/>
  <c r="F36" i="91"/>
  <c r="H36" i="91"/>
  <c r="B82" i="91"/>
  <c r="C82" i="91"/>
  <c r="D82" i="91"/>
  <c r="E82" i="91"/>
  <c r="F82" i="91"/>
  <c r="G82" i="91"/>
  <c r="H82" i="91"/>
  <c r="B54" i="91"/>
  <c r="C54" i="91"/>
  <c r="D54" i="91"/>
  <c r="E54" i="91"/>
  <c r="F54" i="91"/>
  <c r="G54" i="91"/>
  <c r="H54" i="91"/>
  <c r="B81" i="91"/>
  <c r="C81" i="91"/>
  <c r="D81" i="91"/>
  <c r="E81" i="91"/>
  <c r="F81" i="91"/>
  <c r="G81" i="91"/>
  <c r="H81" i="91"/>
  <c r="B53" i="91"/>
  <c r="C53" i="91"/>
  <c r="D53" i="91"/>
  <c r="E53" i="91"/>
  <c r="F53" i="91"/>
  <c r="G53" i="91"/>
  <c r="H53" i="91"/>
  <c r="B78" i="91"/>
  <c r="C78" i="91"/>
  <c r="D78" i="91"/>
  <c r="E78" i="91"/>
  <c r="F78" i="91"/>
  <c r="G78" i="91"/>
  <c r="H78" i="91"/>
  <c r="B50" i="91"/>
  <c r="C50" i="91"/>
  <c r="D50" i="91"/>
  <c r="E50" i="91"/>
  <c r="F50" i="91"/>
  <c r="G50" i="91"/>
  <c r="H50" i="91"/>
  <c r="B97" i="91"/>
  <c r="C97" i="91"/>
  <c r="D97" i="91"/>
  <c r="E97" i="91"/>
  <c r="F97" i="91"/>
  <c r="G97" i="91"/>
  <c r="H97" i="91"/>
  <c r="B69" i="91"/>
  <c r="C69" i="91"/>
  <c r="D69" i="91"/>
  <c r="E69" i="91"/>
  <c r="F69" i="91"/>
  <c r="G69" i="91"/>
  <c r="H69" i="91"/>
  <c r="B114" i="91"/>
  <c r="C114" i="91"/>
  <c r="D114" i="91"/>
  <c r="E114" i="91"/>
  <c r="F114" i="91"/>
  <c r="G114" i="91"/>
  <c r="H114" i="91"/>
  <c r="F27" i="91"/>
  <c r="H27" i="91"/>
  <c r="B111" i="91"/>
  <c r="C111" i="91"/>
  <c r="D111" i="91"/>
  <c r="E111" i="91"/>
  <c r="F111" i="91"/>
  <c r="G111" i="91"/>
  <c r="H111" i="91"/>
  <c r="F24" i="91"/>
  <c r="H24" i="91"/>
  <c r="B79" i="91"/>
  <c r="C79" i="91"/>
  <c r="D79" i="91"/>
  <c r="E79" i="91"/>
  <c r="F79" i="91"/>
  <c r="G79" i="91"/>
  <c r="H79" i="91"/>
  <c r="B51" i="91"/>
  <c r="C51" i="91"/>
  <c r="D51" i="91"/>
  <c r="E51" i="91"/>
  <c r="F51" i="91"/>
  <c r="G51" i="91"/>
  <c r="H51" i="91"/>
  <c r="B75" i="91"/>
  <c r="C75" i="91"/>
  <c r="D75" i="91"/>
  <c r="E75" i="91"/>
  <c r="F75" i="91"/>
  <c r="G75" i="91"/>
  <c r="H75" i="91"/>
  <c r="B47" i="91"/>
  <c r="C47" i="91"/>
  <c r="D47" i="91"/>
  <c r="E47" i="91"/>
  <c r="F47" i="91"/>
  <c r="G47" i="91"/>
  <c r="H47" i="91"/>
  <c r="B112" i="91"/>
  <c r="C112" i="91"/>
  <c r="D112" i="91"/>
  <c r="E112" i="91"/>
  <c r="F112" i="91"/>
  <c r="G112" i="91"/>
  <c r="H112" i="91"/>
  <c r="F25" i="91"/>
  <c r="H25" i="91"/>
  <c r="B115" i="91"/>
  <c r="C115" i="91"/>
  <c r="D115" i="91"/>
  <c r="E115" i="91"/>
  <c r="F115" i="91"/>
  <c r="G115" i="91"/>
  <c r="H115" i="91"/>
  <c r="F28" i="91"/>
  <c r="H28" i="91"/>
  <c r="B87" i="91"/>
  <c r="B151" i="57"/>
  <c r="B84" i="91"/>
  <c r="C84" i="91"/>
  <c r="D84" i="91"/>
  <c r="E84" i="91"/>
  <c r="F84" i="91"/>
  <c r="G84" i="91"/>
  <c r="H84" i="91"/>
  <c r="B56" i="91"/>
  <c r="C56" i="91"/>
  <c r="D56" i="91"/>
  <c r="E56" i="91"/>
  <c r="F56" i="91"/>
  <c r="G56" i="91"/>
  <c r="H56" i="91"/>
  <c r="B58" i="91"/>
  <c r="C58" i="91"/>
  <c r="D58" i="91"/>
  <c r="E58" i="91"/>
  <c r="F58" i="91"/>
  <c r="G58" i="91"/>
  <c r="H58" i="91"/>
  <c r="B86" i="91"/>
  <c r="C86" i="91"/>
  <c r="D86" i="91"/>
  <c r="E86" i="91"/>
  <c r="F86" i="91"/>
  <c r="G86" i="91"/>
  <c r="H86" i="91"/>
  <c r="B93" i="91"/>
  <c r="C93" i="91"/>
  <c r="D93" i="91"/>
  <c r="E93" i="91"/>
  <c r="F93" i="91"/>
  <c r="G93" i="91"/>
  <c r="B65" i="91"/>
  <c r="C65" i="91"/>
  <c r="D65" i="91"/>
  <c r="E65" i="91"/>
  <c r="F65" i="91"/>
  <c r="G65" i="91"/>
  <c r="H65" i="91"/>
  <c r="B60" i="91"/>
  <c r="C60" i="91"/>
  <c r="D60" i="91"/>
  <c r="E60" i="91"/>
  <c r="F60" i="91"/>
  <c r="G60" i="91"/>
  <c r="H60" i="91"/>
  <c r="B88" i="91"/>
  <c r="C88" i="91"/>
  <c r="D88" i="91"/>
  <c r="E88" i="91"/>
  <c r="F88" i="91"/>
  <c r="G88" i="91"/>
  <c r="H88" i="91"/>
  <c r="B64" i="91"/>
  <c r="C64" i="91"/>
  <c r="D64" i="91"/>
  <c r="E64" i="91"/>
  <c r="F64" i="91"/>
  <c r="G64" i="91"/>
  <c r="H64" i="91"/>
  <c r="B92" i="91"/>
  <c r="C92" i="91"/>
  <c r="D92" i="91"/>
  <c r="E92" i="91"/>
  <c r="F92" i="91"/>
  <c r="G92" i="91"/>
  <c r="B91" i="91"/>
  <c r="C91" i="91"/>
  <c r="D91" i="91"/>
  <c r="E91" i="91"/>
  <c r="F91" i="91"/>
  <c r="G91" i="91"/>
  <c r="H91" i="91"/>
  <c r="B63" i="91"/>
  <c r="C63" i="91"/>
  <c r="D63" i="91"/>
  <c r="E63" i="91"/>
  <c r="F63" i="91"/>
  <c r="G63" i="91"/>
  <c r="H63" i="91"/>
  <c r="B62" i="91"/>
  <c r="C62" i="91"/>
  <c r="D62" i="91"/>
  <c r="E62" i="91"/>
  <c r="F62" i="91"/>
  <c r="G62" i="91"/>
  <c r="H62" i="91"/>
  <c r="B90" i="91"/>
  <c r="C90" i="91"/>
  <c r="D90" i="91"/>
  <c r="E90" i="91"/>
  <c r="F90" i="91"/>
  <c r="G90" i="91"/>
  <c r="H90" i="91"/>
  <c r="C59" i="91"/>
  <c r="D59" i="91"/>
  <c r="E59" i="91"/>
  <c r="F59" i="91"/>
  <c r="G59" i="91"/>
  <c r="H59" i="91"/>
  <c r="C87" i="91"/>
  <c r="D87" i="91"/>
  <c r="E87" i="91"/>
  <c r="F87" i="91"/>
  <c r="G87" i="91"/>
  <c r="H87" i="91"/>
  <c r="B83" i="91"/>
  <c r="C83" i="91"/>
  <c r="D83" i="91"/>
  <c r="E83" i="91"/>
  <c r="F83" i="91"/>
  <c r="G83" i="91"/>
  <c r="H83" i="91"/>
  <c r="B55" i="91"/>
  <c r="C55" i="91"/>
  <c r="D55" i="91"/>
  <c r="E55" i="91"/>
  <c r="F55" i="91"/>
  <c r="G55" i="91"/>
  <c r="H55" i="91"/>
  <c r="B94" i="91"/>
  <c r="C94" i="91"/>
  <c r="D94" i="91"/>
  <c r="E94" i="91"/>
  <c r="F94" i="91"/>
  <c r="G94" i="91"/>
  <c r="B66" i="91"/>
  <c r="C66" i="91"/>
  <c r="D66" i="91"/>
  <c r="E66" i="91"/>
  <c r="F66" i="91"/>
  <c r="G66" i="91"/>
  <c r="H66" i="91"/>
  <c r="B61" i="91"/>
  <c r="C61" i="91"/>
  <c r="D61" i="91"/>
  <c r="E61" i="91"/>
  <c r="F61" i="91"/>
  <c r="G61" i="91"/>
  <c r="H61" i="91"/>
  <c r="B89" i="91"/>
  <c r="C89" i="91"/>
  <c r="D89" i="91"/>
  <c r="E89" i="91"/>
  <c r="F89" i="91"/>
  <c r="G89" i="91"/>
  <c r="H89" i="91"/>
  <c r="B57" i="91"/>
  <c r="C57" i="91"/>
  <c r="D57" i="91"/>
  <c r="E57" i="91"/>
  <c r="F57" i="91"/>
  <c r="G57" i="91"/>
  <c r="H57" i="91"/>
  <c r="B85" i="91"/>
  <c r="C85" i="91"/>
  <c r="D85" i="91"/>
  <c r="E85" i="91"/>
  <c r="F85" i="91"/>
  <c r="G85" i="91"/>
  <c r="H85" i="91"/>
  <c r="B117" i="57"/>
  <c r="B118" i="57"/>
  <c r="B119" i="57"/>
  <c r="B120" i="57"/>
  <c r="C10" i="87"/>
  <c r="C12" i="87"/>
  <c r="D218" i="55"/>
  <c r="D168" i="57"/>
  <c r="D170" i="57"/>
  <c r="G11" i="57"/>
  <c r="E68" i="86"/>
  <c r="F68" i="86"/>
  <c r="G10" i="57"/>
  <c r="E67" i="86"/>
  <c r="F67" i="86"/>
  <c r="F140" i="57"/>
  <c r="G90" i="57"/>
  <c r="G89" i="57"/>
  <c r="G88" i="57"/>
  <c r="G87" i="57"/>
  <c r="G86" i="57"/>
  <c r="F9" i="57"/>
  <c r="G9" i="57"/>
  <c r="E66" i="86"/>
  <c r="F66" i="86"/>
  <c r="G61" i="57"/>
  <c r="G60" i="57"/>
  <c r="G59" i="57"/>
  <c r="G58" i="57"/>
  <c r="G57" i="57"/>
  <c r="G56" i="57"/>
  <c r="F137" i="57"/>
  <c r="F136" i="57"/>
  <c r="F135" i="57"/>
  <c r="F134" i="57"/>
  <c r="F139" i="57"/>
  <c r="F133" i="57"/>
  <c r="F132" i="57"/>
  <c r="F131" i="57"/>
  <c r="F130" i="57"/>
  <c r="G48" i="57"/>
  <c r="G47" i="57"/>
  <c r="G82" i="57"/>
  <c r="G81" i="57"/>
  <c r="G80" i="57"/>
  <c r="G79" i="57"/>
  <c r="G78" i="57"/>
  <c r="G77" i="57"/>
  <c r="G76" i="57"/>
  <c r="F120" i="57"/>
  <c r="F119" i="57"/>
  <c r="F118" i="57"/>
  <c r="F116" i="57"/>
  <c r="F115" i="57"/>
  <c r="F114" i="57"/>
  <c r="F113" i="57"/>
  <c r="F112" i="57"/>
  <c r="F157" i="57"/>
  <c r="D9" i="62"/>
  <c r="L16" i="21"/>
  <c r="L15" i="21"/>
  <c r="C187" i="55"/>
  <c r="D187" i="55"/>
  <c r="E10" i="22"/>
  <c r="H11" i="90"/>
  <c r="G11" i="90"/>
  <c r="F11" i="90"/>
  <c r="E11" i="90"/>
  <c r="H10" i="90"/>
  <c r="G10" i="90"/>
  <c r="F10" i="90"/>
  <c r="E10" i="90"/>
  <c r="H9" i="90"/>
  <c r="G9" i="90"/>
  <c r="F9" i="90"/>
  <c r="E9" i="90"/>
  <c r="H8" i="90"/>
  <c r="G8" i="90"/>
  <c r="F8" i="90"/>
  <c r="E8" i="90"/>
  <c r="C189" i="55"/>
  <c r="D189" i="55"/>
  <c r="C188" i="55"/>
  <c r="D188" i="55"/>
  <c r="C184" i="55"/>
  <c r="B31" i="68"/>
  <c r="B200" i="55"/>
  <c r="A184" i="55"/>
  <c r="A183" i="55"/>
  <c r="C9" i="87"/>
  <c r="I9" i="90"/>
  <c r="I8" i="90"/>
  <c r="A189" i="55"/>
  <c r="A188" i="55"/>
  <c r="F6" i="57"/>
  <c r="L84" i="86"/>
  <c r="L81" i="86"/>
  <c r="F61" i="86"/>
  <c r="L83" i="86"/>
  <c r="K209" i="55"/>
  <c r="S209" i="55"/>
  <c r="B146" i="72"/>
  <c r="B147" i="72"/>
  <c r="B148" i="72"/>
  <c r="B149" i="72"/>
  <c r="D177" i="72"/>
  <c r="D176" i="72"/>
  <c r="D180" i="72"/>
  <c r="H50" i="57"/>
  <c r="A141" i="72"/>
  <c r="A147" i="72"/>
  <c r="A156" i="72"/>
  <c r="K21" i="87"/>
  <c r="A178" i="55"/>
  <c r="R9" i="87"/>
  <c r="R10" i="87"/>
  <c r="Q9" i="87"/>
  <c r="Q10" i="87"/>
  <c r="Q12" i="87"/>
  <c r="P9" i="87"/>
  <c r="O9" i="87"/>
  <c r="O10" i="87"/>
  <c r="N9" i="87"/>
  <c r="N10" i="87"/>
  <c r="M9" i="87"/>
  <c r="M10" i="87"/>
  <c r="L9" i="87"/>
  <c r="L10" i="87"/>
  <c r="A187" i="55"/>
  <c r="D11" i="87"/>
  <c r="E11" i="87"/>
  <c r="F11" i="87"/>
  <c r="G11" i="87"/>
  <c r="H11" i="87"/>
  <c r="I11" i="87"/>
  <c r="G55" i="57"/>
  <c r="G54" i="57"/>
  <c r="G46" i="57"/>
  <c r="G45" i="57"/>
  <c r="G44" i="57"/>
  <c r="E8" i="22"/>
  <c r="E50" i="48"/>
  <c r="A22" i="89"/>
  <c r="A21" i="89"/>
  <c r="C21" i="89"/>
  <c r="D21" i="89"/>
  <c r="B21" i="89"/>
  <c r="C27" i="89"/>
  <c r="C30" i="89"/>
  <c r="B27" i="89"/>
  <c r="B30" i="89"/>
  <c r="D29" i="89"/>
  <c r="D28" i="89"/>
  <c r="A32" i="89"/>
  <c r="A31" i="89"/>
  <c r="A29" i="89"/>
  <c r="A28" i="89"/>
  <c r="A27" i="89"/>
  <c r="C8" i="89"/>
  <c r="D8" i="89"/>
  <c r="B8" i="89"/>
  <c r="B22" i="89"/>
  <c r="D3" i="89"/>
  <c r="D25" i="89"/>
  <c r="C25" i="89"/>
  <c r="B25" i="89"/>
  <c r="A36" i="48"/>
  <c r="B16" i="48"/>
  <c r="A35" i="48"/>
  <c r="B15" i="48"/>
  <c r="A34" i="48"/>
  <c r="B14" i="48"/>
  <c r="A33" i="48"/>
  <c r="B12" i="48"/>
  <c r="A31" i="48"/>
  <c r="K8" i="88"/>
  <c r="J7" i="88"/>
  <c r="K7" i="88"/>
  <c r="C60" i="86"/>
  <c r="B13" i="48"/>
  <c r="A32" i="48"/>
  <c r="F8" i="48"/>
  <c r="H8" i="48"/>
  <c r="J8" i="48"/>
  <c r="M8" i="48"/>
  <c r="D217" i="55"/>
  <c r="D216" i="55"/>
  <c r="F22" i="48"/>
  <c r="F50" i="48"/>
  <c r="G22" i="48"/>
  <c r="G50" i="48"/>
  <c r="E172" i="55"/>
  <c r="D8" i="87"/>
  <c r="D10" i="87"/>
  <c r="G53" i="57"/>
  <c r="G40" i="57"/>
  <c r="G41" i="57"/>
  <c r="G42" i="57"/>
  <c r="G43" i="57"/>
  <c r="G70" i="57"/>
  <c r="G71" i="57"/>
  <c r="G72" i="57"/>
  <c r="B10" i="42"/>
  <c r="D21" i="42"/>
  <c r="D23" i="42"/>
  <c r="B63" i="55"/>
  <c r="B32" i="55"/>
  <c r="B162" i="55"/>
  <c r="B163" i="55"/>
  <c r="B164" i="55"/>
  <c r="D27" i="48"/>
  <c r="F9" i="48"/>
  <c r="H9" i="48"/>
  <c r="D28" i="48"/>
  <c r="F10" i="48"/>
  <c r="H10" i="48"/>
  <c r="C29" i="48"/>
  <c r="D29" i="48"/>
  <c r="F11" i="48"/>
  <c r="H11" i="48"/>
  <c r="D30" i="48"/>
  <c r="D31" i="48"/>
  <c r="D32" i="48"/>
  <c r="D33" i="48"/>
  <c r="D34" i="48"/>
  <c r="D35" i="48"/>
  <c r="C36" i="48"/>
  <c r="D36" i="48"/>
  <c r="E36" i="48"/>
  <c r="B5" i="55"/>
  <c r="H73" i="57"/>
  <c r="B166" i="84"/>
  <c r="D27" i="42"/>
  <c r="D28" i="42"/>
  <c r="M11" i="48"/>
  <c r="M10" i="48"/>
  <c r="M9" i="48"/>
  <c r="M12" i="48"/>
  <c r="M13" i="48"/>
  <c r="M14" i="48"/>
  <c r="M15" i="48"/>
  <c r="M16" i="48"/>
  <c r="F117" i="57"/>
  <c r="E133" i="72"/>
  <c r="E176" i="72"/>
  <c r="B7" i="81"/>
  <c r="B9" i="81"/>
  <c r="B7" i="83"/>
  <c r="B9" i="83"/>
  <c r="D17" i="83"/>
  <c r="B105" i="83"/>
  <c r="C36" i="53"/>
  <c r="C89" i="53"/>
  <c r="D18" i="83"/>
  <c r="F18" i="83"/>
  <c r="B106" i="83"/>
  <c r="C37" i="53"/>
  <c r="C90" i="53"/>
  <c r="D19" i="83"/>
  <c r="B107" i="83"/>
  <c r="C38" i="53"/>
  <c r="C91" i="53"/>
  <c r="D20" i="83"/>
  <c r="B108" i="83"/>
  <c r="C39" i="53"/>
  <c r="C92" i="53"/>
  <c r="D160" i="53"/>
  <c r="D21" i="83"/>
  <c r="B109" i="83"/>
  <c r="C40" i="53"/>
  <c r="C93" i="53"/>
  <c r="D229" i="53"/>
  <c r="D22" i="83"/>
  <c r="F22" i="83"/>
  <c r="B110" i="83"/>
  <c r="C41" i="53"/>
  <c r="C94" i="53"/>
  <c r="C23" i="83"/>
  <c r="D26" i="83"/>
  <c r="B113" i="83"/>
  <c r="C44" i="53"/>
  <c r="D24" i="83"/>
  <c r="D25" i="83"/>
  <c r="B112" i="83"/>
  <c r="C43" i="53"/>
  <c r="C96" i="53"/>
  <c r="C97" i="53"/>
  <c r="D27" i="83"/>
  <c r="D28" i="83"/>
  <c r="D29" i="83"/>
  <c r="B116" i="83"/>
  <c r="C47" i="53"/>
  <c r="C100" i="53"/>
  <c r="D168" i="53"/>
  <c r="D31" i="83"/>
  <c r="C32" i="83"/>
  <c r="D159" i="53"/>
  <c r="D161" i="53"/>
  <c r="F17" i="83"/>
  <c r="H17" i="83"/>
  <c r="H18" i="83"/>
  <c r="B50" i="83"/>
  <c r="B39" i="55"/>
  <c r="B96" i="55"/>
  <c r="B148" i="55"/>
  <c r="F19" i="83"/>
  <c r="H19" i="83"/>
  <c r="B51" i="83"/>
  <c r="B40" i="55"/>
  <c r="B97" i="55"/>
  <c r="B149" i="55"/>
  <c r="F20" i="83"/>
  <c r="H20" i="83"/>
  <c r="B52" i="83"/>
  <c r="B41" i="55"/>
  <c r="B98" i="55"/>
  <c r="B150" i="55"/>
  <c r="F21" i="83"/>
  <c r="H21" i="83"/>
  <c r="H22" i="83"/>
  <c r="F25" i="83"/>
  <c r="H25" i="83"/>
  <c r="B56" i="83"/>
  <c r="B45" i="55"/>
  <c r="B102" i="55"/>
  <c r="B154" i="55"/>
  <c r="F26" i="83"/>
  <c r="H26" i="83"/>
  <c r="B57" i="83"/>
  <c r="B46" i="55"/>
  <c r="B103" i="55"/>
  <c r="B155" i="55"/>
  <c r="F29" i="83"/>
  <c r="H29" i="83"/>
  <c r="B60" i="83"/>
  <c r="B49" i="55"/>
  <c r="B106" i="55"/>
  <c r="D227" i="53"/>
  <c r="D228" i="53"/>
  <c r="D236" i="53"/>
  <c r="B78" i="83"/>
  <c r="B17" i="84"/>
  <c r="B79" i="83"/>
  <c r="B18" i="84"/>
  <c r="B80" i="83"/>
  <c r="B19" i="84"/>
  <c r="B84" i="83"/>
  <c r="B23" i="84"/>
  <c r="B85" i="83"/>
  <c r="B88" i="83"/>
  <c r="B27" i="84"/>
  <c r="D29" i="42"/>
  <c r="F133" i="72"/>
  <c r="H32" i="55"/>
  <c r="G32" i="55"/>
  <c r="G63" i="55"/>
  <c r="H63" i="55"/>
  <c r="B5" i="72"/>
  <c r="C33" i="72"/>
  <c r="D33" i="72"/>
  <c r="D34" i="72"/>
  <c r="H162" i="55"/>
  <c r="G162" i="55"/>
  <c r="H163" i="55"/>
  <c r="G163" i="55"/>
  <c r="H164" i="55"/>
  <c r="G164" i="55"/>
  <c r="B34" i="72"/>
  <c r="F32" i="55"/>
  <c r="F63" i="55"/>
  <c r="F162" i="55"/>
  <c r="F163" i="55"/>
  <c r="F164" i="55"/>
  <c r="E32" i="55"/>
  <c r="E63" i="55"/>
  <c r="E162" i="55"/>
  <c r="E163" i="55"/>
  <c r="E164" i="55"/>
  <c r="D32" i="55"/>
  <c r="D63" i="55"/>
  <c r="E149" i="84"/>
  <c r="F149" i="84"/>
  <c r="G149" i="84"/>
  <c r="G180" i="84"/>
  <c r="D162" i="55"/>
  <c r="D163" i="55"/>
  <c r="D164" i="55"/>
  <c r="C32" i="55"/>
  <c r="C63" i="55"/>
  <c r="C34" i="72"/>
  <c r="E17" i="42"/>
  <c r="F17" i="42"/>
  <c r="F29" i="42"/>
  <c r="F180" i="84"/>
  <c r="C162" i="55"/>
  <c r="C163" i="55"/>
  <c r="C164" i="55"/>
  <c r="E27" i="42"/>
  <c r="E28" i="42"/>
  <c r="E29" i="42"/>
  <c r="E34" i="42"/>
  <c r="C20" i="85"/>
  <c r="E37" i="42"/>
  <c r="E43" i="42"/>
  <c r="E124" i="53"/>
  <c r="E266" i="53"/>
  <c r="E267" i="53"/>
  <c r="C9" i="42"/>
  <c r="C10" i="42"/>
  <c r="E21" i="42"/>
  <c r="E23" i="42"/>
  <c r="C10" i="21"/>
  <c r="D37" i="42"/>
  <c r="D43" i="42"/>
  <c r="D266" i="53"/>
  <c r="D267" i="53"/>
  <c r="D268" i="53"/>
  <c r="D269" i="53"/>
  <c r="D180" i="84"/>
  <c r="D181" i="84"/>
  <c r="D185" i="84"/>
  <c r="E9" i="22"/>
  <c r="E11" i="22"/>
  <c r="E15" i="22"/>
  <c r="E12" i="22"/>
  <c r="E13" i="22"/>
  <c r="E14" i="22"/>
  <c r="E16" i="22"/>
  <c r="E17" i="22"/>
  <c r="B10" i="85"/>
  <c r="B195" i="85"/>
  <c r="C10" i="62"/>
  <c r="C9" i="62"/>
  <c r="C8" i="62"/>
  <c r="C7" i="62"/>
  <c r="C6" i="62"/>
  <c r="C5" i="62"/>
  <c r="A259" i="85"/>
  <c r="A258" i="85"/>
  <c r="A257" i="85"/>
  <c r="A256" i="85"/>
  <c r="B226" i="85"/>
  <c r="C226" i="85"/>
  <c r="D226" i="85"/>
  <c r="E226" i="85"/>
  <c r="F226" i="85"/>
  <c r="G226" i="85"/>
  <c r="H226" i="85"/>
  <c r="A198" i="85"/>
  <c r="A197" i="85"/>
  <c r="A196" i="85"/>
  <c r="A195" i="85"/>
  <c r="A194" i="85"/>
  <c r="A193" i="85"/>
  <c r="A23" i="85"/>
  <c r="A33" i="85"/>
  <c r="A22" i="85"/>
  <c r="A32" i="85"/>
  <c r="A21" i="85"/>
  <c r="A31" i="85"/>
  <c r="A20" i="85"/>
  <c r="A30" i="85"/>
  <c r="A19" i="85"/>
  <c r="A29" i="85"/>
  <c r="A18" i="85"/>
  <c r="A28" i="85"/>
  <c r="B113" i="81"/>
  <c r="C30" i="53"/>
  <c r="C83" i="53"/>
  <c r="D151" i="53"/>
  <c r="C31" i="53"/>
  <c r="C84" i="53"/>
  <c r="D220" i="53"/>
  <c r="D152" i="53"/>
  <c r="C40" i="81"/>
  <c r="D40" i="81"/>
  <c r="E40" i="81"/>
  <c r="F40" i="81"/>
  <c r="G40" i="81"/>
  <c r="H40" i="81"/>
  <c r="C65" i="81"/>
  <c r="D65" i="81"/>
  <c r="C90" i="81"/>
  <c r="D31" i="53"/>
  <c r="D84" i="53"/>
  <c r="D90" i="81"/>
  <c r="E90" i="81"/>
  <c r="F90" i="81"/>
  <c r="G90" i="81"/>
  <c r="H90" i="81"/>
  <c r="E31" i="53"/>
  <c r="E84" i="53"/>
  <c r="F31" i="53"/>
  <c r="F84" i="53"/>
  <c r="F124" i="53"/>
  <c r="G124" i="53"/>
  <c r="G152" i="53"/>
  <c r="G31" i="53"/>
  <c r="G84" i="53"/>
  <c r="H31" i="53"/>
  <c r="H84" i="53"/>
  <c r="I31" i="53"/>
  <c r="I84" i="53"/>
  <c r="E23" i="22"/>
  <c r="E22" i="22"/>
  <c r="E21" i="22"/>
  <c r="E20" i="22"/>
  <c r="E19" i="22"/>
  <c r="E18" i="22"/>
  <c r="C182" i="53"/>
  <c r="B41" i="84"/>
  <c r="D206" i="53"/>
  <c r="D215" i="53"/>
  <c r="D244" i="53"/>
  <c r="C44" i="83"/>
  <c r="D44" i="83"/>
  <c r="E44" i="83"/>
  <c r="F44" i="83"/>
  <c r="G44" i="83"/>
  <c r="H44" i="83"/>
  <c r="C72" i="83"/>
  <c r="K12" i="83"/>
  <c r="H31" i="84"/>
  <c r="H32" i="84"/>
  <c r="H33" i="84"/>
  <c r="C74" i="83"/>
  <c r="C13" i="84"/>
  <c r="F4" i="22"/>
  <c r="C100" i="83"/>
  <c r="D9" i="42"/>
  <c r="A42" i="81"/>
  <c r="A67" i="83"/>
  <c r="A95" i="83"/>
  <c r="A123" i="83"/>
  <c r="A34" i="84"/>
  <c r="A62" i="84"/>
  <c r="A123" i="84"/>
  <c r="A66" i="83"/>
  <c r="A65" i="83"/>
  <c r="A93" i="83"/>
  <c r="A64" i="83"/>
  <c r="A92" i="83"/>
  <c r="A31" i="84"/>
  <c r="C9" i="61"/>
  <c r="C17" i="61"/>
  <c r="V8" i="61"/>
  <c r="V9" i="61"/>
  <c r="V10" i="61"/>
  <c r="V12" i="61"/>
  <c r="V13" i="61"/>
  <c r="U13" i="61"/>
  <c r="U12" i="61"/>
  <c r="U10" i="61"/>
  <c r="U11" i="61"/>
  <c r="U9" i="61"/>
  <c r="O13" i="61"/>
  <c r="P13" i="61"/>
  <c r="Q13" i="61"/>
  <c r="R13" i="61"/>
  <c r="N13" i="61"/>
  <c r="O12" i="61"/>
  <c r="P12" i="61"/>
  <c r="Q12" i="61"/>
  <c r="R12" i="61"/>
  <c r="N12" i="61"/>
  <c r="N11" i="61"/>
  <c r="N10" i="61"/>
  <c r="O10" i="61"/>
  <c r="P10" i="61"/>
  <c r="Q10" i="61"/>
  <c r="R10" i="61"/>
  <c r="O9" i="61"/>
  <c r="P9" i="61"/>
  <c r="Q9" i="61"/>
  <c r="N9" i="61"/>
  <c r="R8" i="61"/>
  <c r="Q8" i="61"/>
  <c r="P8" i="61"/>
  <c r="O8" i="61"/>
  <c r="C15" i="61"/>
  <c r="C16" i="61"/>
  <c r="I176" i="29"/>
  <c r="H176" i="29"/>
  <c r="G176" i="29"/>
  <c r="F176" i="29"/>
  <c r="E176" i="29"/>
  <c r="D176" i="29"/>
  <c r="C176" i="29"/>
  <c r="B131" i="29"/>
  <c r="B146" i="29"/>
  <c r="B161" i="29"/>
  <c r="B176" i="29"/>
  <c r="B130" i="29"/>
  <c r="B145" i="29"/>
  <c r="B160" i="29"/>
  <c r="B175" i="29"/>
  <c r="I161" i="29"/>
  <c r="H161" i="29"/>
  <c r="G161" i="29"/>
  <c r="F161" i="29"/>
  <c r="E161" i="29"/>
  <c r="D161" i="29"/>
  <c r="C161" i="29"/>
  <c r="I146" i="29"/>
  <c r="H146" i="29"/>
  <c r="G146" i="29"/>
  <c r="F146" i="29"/>
  <c r="E146" i="29"/>
  <c r="D146" i="29"/>
  <c r="C146" i="29"/>
  <c r="I131" i="29"/>
  <c r="H131" i="29"/>
  <c r="G131" i="29"/>
  <c r="F131" i="29"/>
  <c r="E131" i="29"/>
  <c r="D131" i="29"/>
  <c r="C131" i="29"/>
  <c r="B129" i="29"/>
  <c r="B144" i="29"/>
  <c r="B159" i="29"/>
  <c r="B174" i="29"/>
  <c r="B128" i="29"/>
  <c r="B143" i="29"/>
  <c r="B158" i="29"/>
  <c r="B173" i="29"/>
  <c r="B127" i="29"/>
  <c r="B126" i="29"/>
  <c r="B141" i="29"/>
  <c r="B156" i="29"/>
  <c r="B171" i="29"/>
  <c r="B125" i="29"/>
  <c r="B140" i="29"/>
  <c r="B155" i="29"/>
  <c r="B170" i="29"/>
  <c r="B37" i="29"/>
  <c r="B36" i="29"/>
  <c r="B35" i="29"/>
  <c r="B34" i="29"/>
  <c r="B33" i="29"/>
  <c r="B32" i="29"/>
  <c r="C53" i="61"/>
  <c r="C52" i="61"/>
  <c r="C51" i="61"/>
  <c r="C50" i="61"/>
  <c r="C49" i="61"/>
  <c r="C48" i="61"/>
  <c r="A23" i="21"/>
  <c r="A33" i="21"/>
  <c r="A156" i="84"/>
  <c r="A155" i="84"/>
  <c r="A154" i="84"/>
  <c r="A56" i="55"/>
  <c r="A113" i="55"/>
  <c r="A165" i="55"/>
  <c r="A179" i="53"/>
  <c r="A244" i="53"/>
  <c r="A70" i="83"/>
  <c r="A69" i="83"/>
  <c r="A58" i="55"/>
  <c r="A115" i="55"/>
  <c r="A167" i="55"/>
  <c r="A68" i="83"/>
  <c r="A96" i="83"/>
  <c r="A63" i="83"/>
  <c r="A52" i="55"/>
  <c r="A109" i="55"/>
  <c r="A161" i="55"/>
  <c r="A91" i="83"/>
  <c r="A30" i="84"/>
  <c r="A61" i="84"/>
  <c r="A62" i="83"/>
  <c r="A90" i="83"/>
  <c r="A61" i="83"/>
  <c r="A50" i="55"/>
  <c r="A107" i="55"/>
  <c r="A159" i="55"/>
  <c r="A89" i="83"/>
  <c r="A28" i="84"/>
  <c r="A59" i="84"/>
  <c r="A120" i="84"/>
  <c r="A60" i="83"/>
  <c r="A59" i="83"/>
  <c r="A87" i="83"/>
  <c r="A26" i="84"/>
  <c r="A58" i="83"/>
  <c r="A86" i="83"/>
  <c r="A57" i="83"/>
  <c r="A85" i="83"/>
  <c r="A24" i="84"/>
  <c r="A55" i="84"/>
  <c r="A113" i="83"/>
  <c r="A44" i="53"/>
  <c r="A97" i="53"/>
  <c r="A56" i="83"/>
  <c r="A55" i="83"/>
  <c r="A83" i="83"/>
  <c r="A54" i="83"/>
  <c r="A82" i="83"/>
  <c r="A53" i="83"/>
  <c r="A81" i="83"/>
  <c r="A109" i="83"/>
  <c r="A40" i="53"/>
  <c r="A161" i="53"/>
  <c r="A52" i="83"/>
  <c r="A41" i="55"/>
  <c r="A98" i="55"/>
  <c r="A150" i="55"/>
  <c r="A51" i="83"/>
  <c r="A50" i="83"/>
  <c r="A49" i="83"/>
  <c r="A77" i="83"/>
  <c r="A38" i="55"/>
  <c r="A95" i="55"/>
  <c r="A147" i="55"/>
  <c r="A48" i="83"/>
  <c r="A47" i="83"/>
  <c r="A75" i="83"/>
  <c r="A46" i="83"/>
  <c r="A35" i="55"/>
  <c r="A92" i="55"/>
  <c r="A144" i="55"/>
  <c r="A32" i="53"/>
  <c r="A31" i="53"/>
  <c r="A62" i="81"/>
  <c r="A61" i="81"/>
  <c r="A86" i="81"/>
  <c r="A111" i="81"/>
  <c r="A29" i="53"/>
  <c r="A150" i="53"/>
  <c r="A218" i="53"/>
  <c r="A60" i="81"/>
  <c r="A43" i="81"/>
  <c r="A68" i="81"/>
  <c r="A34" i="55"/>
  <c r="A91" i="55"/>
  <c r="A143" i="55"/>
  <c r="A46" i="55"/>
  <c r="A103" i="55"/>
  <c r="A155" i="55"/>
  <c r="A51" i="55"/>
  <c r="A108" i="55"/>
  <c r="A160" i="55"/>
  <c r="A59" i="81"/>
  <c r="A28" i="55"/>
  <c r="A85" i="55"/>
  <c r="A137" i="55"/>
  <c r="A20" i="84"/>
  <c r="A51" i="84"/>
  <c r="A94" i="84"/>
  <c r="C40" i="84"/>
  <c r="D40" i="84"/>
  <c r="E40" i="84"/>
  <c r="F40" i="84"/>
  <c r="C41" i="84"/>
  <c r="G43" i="21"/>
  <c r="H61" i="29"/>
  <c r="H43" i="21"/>
  <c r="J97" i="29"/>
  <c r="H88" i="22"/>
  <c r="G43" i="85"/>
  <c r="I88" i="22"/>
  <c r="H43" i="85"/>
  <c r="A62" i="22"/>
  <c r="A63" i="22"/>
  <c r="A64" i="22"/>
  <c r="A65" i="22"/>
  <c r="B142" i="29"/>
  <c r="B157" i="29"/>
  <c r="B172" i="29"/>
  <c r="H37" i="57"/>
  <c r="C65" i="29"/>
  <c r="D65" i="29"/>
  <c r="E65" i="29"/>
  <c r="F65" i="29"/>
  <c r="G65" i="29"/>
  <c r="H65" i="29"/>
  <c r="I65" i="29"/>
  <c r="V12" i="83"/>
  <c r="W12" i="83"/>
  <c r="X12" i="83"/>
  <c r="P12" i="83"/>
  <c r="Q12" i="83"/>
  <c r="R12" i="83"/>
  <c r="S12" i="83"/>
  <c r="T12" i="83"/>
  <c r="K12" i="81"/>
  <c r="A44" i="81"/>
  <c r="A69" i="81"/>
  <c r="F12" i="48"/>
  <c r="H12" i="48"/>
  <c r="C31" i="48"/>
  <c r="F13" i="48"/>
  <c r="H13" i="48"/>
  <c r="F14" i="48"/>
  <c r="H14" i="48"/>
  <c r="J14" i="48"/>
  <c r="F15" i="48"/>
  <c r="H15" i="48"/>
  <c r="C34" i="48"/>
  <c r="E34" i="48"/>
  <c r="F16" i="48"/>
  <c r="H16" i="48"/>
  <c r="A152" i="53"/>
  <c r="A220" i="53"/>
  <c r="A84" i="81"/>
  <c r="A26" i="53"/>
  <c r="A58" i="81"/>
  <c r="A57" i="81"/>
  <c r="A82" i="81"/>
  <c r="A28" i="72"/>
  <c r="A52" i="72"/>
  <c r="A109" i="72"/>
  <c r="A107" i="81"/>
  <c r="A24" i="53"/>
  <c r="A145" i="53"/>
  <c r="A213" i="53"/>
  <c r="A56" i="81"/>
  <c r="A81" i="81"/>
  <c r="A55" i="81"/>
  <c r="A24" i="55"/>
  <c r="A81" i="55"/>
  <c r="A133" i="55"/>
  <c r="A80" i="81"/>
  <c r="A26" i="72"/>
  <c r="A50" i="72"/>
  <c r="A103" i="72"/>
  <c r="A54" i="81"/>
  <c r="A53" i="81"/>
  <c r="A52" i="81"/>
  <c r="A51" i="81"/>
  <c r="A138" i="53"/>
  <c r="A206" i="53"/>
  <c r="A49" i="81"/>
  <c r="A74" i="81"/>
  <c r="A48" i="81"/>
  <c r="A47" i="81"/>
  <c r="A16" i="55"/>
  <c r="A73" i="55"/>
  <c r="A125" i="55"/>
  <c r="A46" i="81"/>
  <c r="A45" i="81"/>
  <c r="A70" i="81"/>
  <c r="A129" i="53"/>
  <c r="A61" i="53"/>
  <c r="A84" i="53"/>
  <c r="A70" i="53"/>
  <c r="A50" i="81"/>
  <c r="A75" i="81"/>
  <c r="A21" i="72"/>
  <c r="A45" i="72"/>
  <c r="A121" i="72"/>
  <c r="A26" i="55"/>
  <c r="A83" i="55"/>
  <c r="A135" i="55"/>
  <c r="A25" i="55"/>
  <c r="A82" i="55"/>
  <c r="A134" i="55"/>
  <c r="A19" i="55"/>
  <c r="A76" i="55"/>
  <c r="A128" i="55"/>
  <c r="A18" i="55"/>
  <c r="A75" i="55"/>
  <c r="A127" i="55"/>
  <c r="A14" i="55"/>
  <c r="A71" i="55"/>
  <c r="A123" i="55"/>
  <c r="A32" i="55"/>
  <c r="A89" i="55"/>
  <c r="A141" i="55"/>
  <c r="V12" i="81"/>
  <c r="W12" i="81"/>
  <c r="X12" i="81"/>
  <c r="P12" i="81"/>
  <c r="Q12" i="81"/>
  <c r="R12" i="81"/>
  <c r="S12" i="81"/>
  <c r="T12" i="81"/>
  <c r="A30" i="48"/>
  <c r="A29" i="48"/>
  <c r="A28" i="48"/>
  <c r="A27" i="48"/>
  <c r="B98" i="29"/>
  <c r="B97" i="29"/>
  <c r="B96" i="29"/>
  <c r="B95" i="29"/>
  <c r="A20" i="21"/>
  <c r="A30" i="21"/>
  <c r="A19" i="21"/>
  <c r="A29" i="21"/>
  <c r="A18" i="21"/>
  <c r="A28" i="21"/>
  <c r="A21" i="21"/>
  <c r="A31" i="21"/>
  <c r="A22" i="21"/>
  <c r="A32" i="21"/>
  <c r="H28" i="69"/>
  <c r="B17" i="68"/>
  <c r="B16" i="68"/>
  <c r="A252" i="53"/>
  <c r="A251" i="53"/>
  <c r="A250" i="53"/>
  <c r="A248" i="53"/>
  <c r="A247" i="53"/>
  <c r="A246" i="53"/>
  <c r="A245" i="53"/>
  <c r="A195" i="53"/>
  <c r="A80" i="83"/>
  <c r="A108" i="83"/>
  <c r="A39" i="53"/>
  <c r="A160" i="53"/>
  <c r="A228" i="53"/>
  <c r="A19" i="84"/>
  <c r="A50" i="84"/>
  <c r="A91" i="84"/>
  <c r="A48" i="55"/>
  <c r="A105" i="55"/>
  <c r="A157" i="55"/>
  <c r="A43" i="55"/>
  <c r="A100" i="55"/>
  <c r="A152" i="55"/>
  <c r="A84" i="83"/>
  <c r="A45" i="55"/>
  <c r="A102" i="55"/>
  <c r="A154" i="55"/>
  <c r="A88" i="83"/>
  <c r="A49" i="55"/>
  <c r="A106" i="55"/>
  <c r="A158" i="55"/>
  <c r="A13" i="55"/>
  <c r="A70" i="55"/>
  <c r="A122" i="55"/>
  <c r="A153" i="53"/>
  <c r="A221" i="53"/>
  <c r="A85" i="53"/>
  <c r="A118" i="83"/>
  <c r="A49" i="53"/>
  <c r="A102" i="53"/>
  <c r="A29" i="84"/>
  <c r="A60" i="84"/>
  <c r="A121" i="84"/>
  <c r="E65" i="81"/>
  <c r="F65" i="81"/>
  <c r="G65" i="81"/>
  <c r="H65" i="81"/>
  <c r="A77" i="53"/>
  <c r="A165" i="53"/>
  <c r="A233" i="53"/>
  <c r="D219" i="53"/>
  <c r="A12" i="55"/>
  <c r="A69" i="55"/>
  <c r="A121" i="55"/>
  <c r="D41" i="84"/>
  <c r="A110" i="84"/>
  <c r="A85" i="81"/>
  <c r="A29" i="55"/>
  <c r="A86" i="55"/>
  <c r="A138" i="55"/>
  <c r="A110" i="83"/>
  <c r="A41" i="53"/>
  <c r="A21" i="84"/>
  <c r="A52" i="84"/>
  <c r="A98" i="84"/>
  <c r="A115" i="83"/>
  <c r="A46" i="53"/>
  <c r="A167" i="53"/>
  <c r="A235" i="53"/>
  <c r="A57" i="84"/>
  <c r="A118" i="84"/>
  <c r="A54" i="55"/>
  <c r="A111" i="55"/>
  <c r="A163" i="55"/>
  <c r="A54" i="53"/>
  <c r="A107" i="53"/>
  <c r="A23" i="84"/>
  <c r="A54" i="84"/>
  <c r="A106" i="84"/>
  <c r="A112" i="83"/>
  <c r="A43" i="53"/>
  <c r="A124" i="83"/>
  <c r="A55" i="53"/>
  <c r="A108" i="53"/>
  <c r="A35" i="84"/>
  <c r="A63" i="84"/>
  <c r="A127" i="84"/>
  <c r="A121" i="83"/>
  <c r="A52" i="53"/>
  <c r="A32" i="84"/>
  <c r="L12" i="83"/>
  <c r="A147" i="53"/>
  <c r="A215" i="53"/>
  <c r="A79" i="53"/>
  <c r="A57" i="55"/>
  <c r="A114" i="55"/>
  <c r="A166" i="55"/>
  <c r="A103" i="83"/>
  <c r="A34" i="53"/>
  <c r="A14" i="84"/>
  <c r="A45" i="84"/>
  <c r="A71" i="84"/>
  <c r="A122" i="84"/>
  <c r="L12" i="81"/>
  <c r="M12" i="81"/>
  <c r="N12" i="81"/>
  <c r="F21" i="22"/>
  <c r="F20" i="22"/>
  <c r="C113" i="81"/>
  <c r="D113" i="81"/>
  <c r="E30" i="53"/>
  <c r="E83" i="53"/>
  <c r="A105" i="53"/>
  <c r="A173" i="53"/>
  <c r="A99" i="53"/>
  <c r="A92" i="53"/>
  <c r="D172" i="29"/>
  <c r="M12" i="83"/>
  <c r="N12" i="83"/>
  <c r="A164" i="53"/>
  <c r="A232" i="53"/>
  <c r="A96" i="53"/>
  <c r="A175" i="53"/>
  <c r="A240" i="53"/>
  <c r="F41" i="84"/>
  <c r="E41" i="84"/>
  <c r="B48" i="84"/>
  <c r="G40" i="84"/>
  <c r="A78" i="81"/>
  <c r="A24" i="72"/>
  <c r="A48" i="72"/>
  <c r="A97" i="72"/>
  <c r="A22" i="55"/>
  <c r="A79" i="55"/>
  <c r="A131" i="55"/>
  <c r="G17" i="42"/>
  <c r="A229" i="53"/>
  <c r="P16" i="61"/>
  <c r="A120" i="83"/>
  <c r="A51" i="53"/>
  <c r="A104" i="53"/>
  <c r="A15" i="72"/>
  <c r="A39" i="72"/>
  <c r="A65" i="72"/>
  <c r="A94" i="81"/>
  <c r="A11" i="53"/>
  <c r="A87" i="72"/>
  <c r="A100" i="81"/>
  <c r="A73" i="81"/>
  <c r="A17" i="55"/>
  <c r="A74" i="55"/>
  <c r="A126" i="55"/>
  <c r="A83" i="81"/>
  <c r="A29" i="72"/>
  <c r="A53" i="72"/>
  <c r="A112" i="72"/>
  <c r="A27" i="55"/>
  <c r="A84" i="55"/>
  <c r="A136" i="55"/>
  <c r="A78" i="83"/>
  <c r="A39" i="55"/>
  <c r="A96" i="55"/>
  <c r="A148" i="55"/>
  <c r="A71" i="81"/>
  <c r="A96" i="81"/>
  <c r="A13" i="53"/>
  <c r="A15" i="55"/>
  <c r="A72" i="55"/>
  <c r="A124" i="55"/>
  <c r="A77" i="81"/>
  <c r="A21" i="55"/>
  <c r="A78" i="55"/>
  <c r="A130" i="55"/>
  <c r="A105" i="81"/>
  <c r="A22" i="53"/>
  <c r="A143" i="53"/>
  <c r="A211" i="53"/>
  <c r="A109" i="81"/>
  <c r="A27" i="53"/>
  <c r="A30" i="72"/>
  <c r="A54" i="72"/>
  <c r="A115" i="72"/>
  <c r="A67" i="81"/>
  <c r="A11" i="55"/>
  <c r="A68" i="55"/>
  <c r="A120" i="55"/>
  <c r="F215" i="53"/>
  <c r="E206" i="53"/>
  <c r="A36" i="55"/>
  <c r="A93" i="55"/>
  <c r="A145" i="55"/>
  <c r="A47" i="55"/>
  <c r="A104" i="55"/>
  <c r="A156" i="55"/>
  <c r="A74" i="83"/>
  <c r="A102" i="83"/>
  <c r="A33" i="53"/>
  <c r="A154" i="53"/>
  <c r="A222" i="53"/>
  <c r="A13" i="84"/>
  <c r="A44" i="84"/>
  <c r="A67" i="84"/>
  <c r="G215" i="53"/>
  <c r="F244" i="53"/>
  <c r="A17" i="72"/>
  <c r="A41" i="72"/>
  <c r="A72" i="72"/>
  <c r="A17" i="84"/>
  <c r="A48" i="84"/>
  <c r="A83" i="84"/>
  <c r="A106" i="83"/>
  <c r="A37" i="53"/>
  <c r="A98" i="81"/>
  <c r="A15" i="53"/>
  <c r="A136" i="53"/>
  <c r="A204" i="53"/>
  <c r="A19" i="72"/>
  <c r="A43" i="72"/>
  <c r="A80" i="72"/>
  <c r="H17" i="42"/>
  <c r="A92" i="81"/>
  <c r="A9" i="53"/>
  <c r="A62" i="53"/>
  <c r="A13" i="72"/>
  <c r="A37" i="72"/>
  <c r="A58" i="72"/>
  <c r="A103" i="81"/>
  <c r="A20" i="53"/>
  <c r="A73" i="53"/>
  <c r="A102" i="81"/>
  <c r="A19" i="53"/>
  <c r="A23" i="72"/>
  <c r="A47" i="72"/>
  <c r="A94" i="72"/>
  <c r="A172" i="53"/>
  <c r="A130" i="53"/>
  <c r="A198" i="53"/>
  <c r="G206" i="53"/>
  <c r="B49" i="84"/>
  <c r="B50" i="84"/>
  <c r="B54" i="84"/>
  <c r="B58" i="84"/>
  <c r="D89" i="55"/>
  <c r="D141" i="55"/>
  <c r="C89" i="55"/>
  <c r="C141" i="55"/>
  <c r="H89" i="55"/>
  <c r="F11" i="22"/>
  <c r="F10" i="22"/>
  <c r="F23" i="22"/>
  <c r="J12" i="29"/>
  <c r="I61" i="29"/>
  <c r="I12" i="29"/>
  <c r="E216" i="55"/>
  <c r="A142" i="72"/>
  <c r="A148" i="72"/>
  <c r="A157" i="72"/>
  <c r="F89" i="55"/>
  <c r="F141" i="55"/>
  <c r="G89" i="55"/>
  <c r="G141" i="55"/>
  <c r="B89" i="55"/>
  <c r="B141" i="55"/>
  <c r="E89" i="55"/>
  <c r="E141" i="55"/>
  <c r="A139" i="72"/>
  <c r="A145" i="72"/>
  <c r="A154" i="72"/>
  <c r="A143" i="72"/>
  <c r="A149" i="72"/>
  <c r="A158" i="72"/>
  <c r="A146" i="72"/>
  <c r="A155" i="72"/>
  <c r="E156" i="72"/>
  <c r="D156" i="72"/>
  <c r="B29" i="21"/>
  <c r="B29" i="85"/>
  <c r="F177" i="72"/>
  <c r="F176" i="72"/>
  <c r="F180" i="72"/>
  <c r="G133" i="72"/>
  <c r="F155" i="72"/>
  <c r="F156" i="72"/>
  <c r="E33" i="72"/>
  <c r="E34" i="72"/>
  <c r="O16" i="61"/>
  <c r="E157" i="72"/>
  <c r="E177" i="72"/>
  <c r="E180" i="72"/>
  <c r="O11" i="61"/>
  <c r="P11" i="61"/>
  <c r="Q11" i="61"/>
  <c r="R11" i="61"/>
  <c r="D221" i="55"/>
  <c r="H141" i="55"/>
  <c r="B158" i="55"/>
  <c r="E217" i="55"/>
  <c r="F172" i="55"/>
  <c r="G37" i="57"/>
  <c r="F13" i="22"/>
  <c r="F9" i="22"/>
  <c r="F8" i="22"/>
  <c r="H258" i="85"/>
  <c r="G272" i="85"/>
  <c r="G222" i="85"/>
  <c r="H173" i="85"/>
  <c r="F18" i="22"/>
  <c r="F12" i="22"/>
  <c r="F22" i="22"/>
  <c r="I97" i="29"/>
  <c r="F16" i="22"/>
  <c r="F15" i="22"/>
  <c r="F17" i="22"/>
  <c r="F19" i="22"/>
  <c r="G4" i="22"/>
  <c r="G10" i="22"/>
  <c r="F14" i="22"/>
  <c r="E52" i="48"/>
  <c r="B31" i="85"/>
  <c r="F52" i="48"/>
  <c r="C31" i="85"/>
  <c r="G52" i="48"/>
  <c r="D31" i="21"/>
  <c r="D30" i="89"/>
  <c r="D27" i="89"/>
  <c r="C22" i="89"/>
  <c r="C24" i="89"/>
  <c r="D22" i="89"/>
  <c r="C7" i="89"/>
  <c r="C14" i="89"/>
  <c r="B7" i="89"/>
  <c r="C33" i="48"/>
  <c r="G33" i="48"/>
  <c r="J9" i="48"/>
  <c r="C28" i="48"/>
  <c r="G28" i="48"/>
  <c r="J13" i="48"/>
  <c r="C32" i="48"/>
  <c r="E32" i="48"/>
  <c r="G29" i="48"/>
  <c r="F29" i="48"/>
  <c r="E29" i="48"/>
  <c r="G36" i="48"/>
  <c r="H22" i="48"/>
  <c r="C35" i="48"/>
  <c r="H35" i="48"/>
  <c r="J16" i="48"/>
  <c r="E31" i="48"/>
  <c r="J12" i="48"/>
  <c r="C27" i="48"/>
  <c r="F36" i="48"/>
  <c r="J10" i="48"/>
  <c r="J11" i="48"/>
  <c r="J15" i="48"/>
  <c r="C41" i="48"/>
  <c r="F34" i="48"/>
  <c r="G34" i="48"/>
  <c r="C42" i="48"/>
  <c r="C30" i="48"/>
  <c r="E155" i="72"/>
  <c r="F158" i="72"/>
  <c r="F157" i="72"/>
  <c r="G158" i="72"/>
  <c r="E158" i="72"/>
  <c r="D158" i="72"/>
  <c r="D157" i="72"/>
  <c r="D142" i="72"/>
  <c r="D155" i="72"/>
  <c r="G155" i="72"/>
  <c r="H133" i="72"/>
  <c r="I133" i="72"/>
  <c r="G177" i="72"/>
  <c r="G157" i="72"/>
  <c r="F217" i="55"/>
  <c r="G23" i="22"/>
  <c r="G12" i="22"/>
  <c r="G13" i="22"/>
  <c r="G32" i="48"/>
  <c r="B31" i="21"/>
  <c r="F32" i="48"/>
  <c r="B10" i="89"/>
  <c r="B15" i="89"/>
  <c r="B14" i="89"/>
  <c r="C10" i="89"/>
  <c r="C15" i="89"/>
  <c r="C16" i="89"/>
  <c r="C18" i="89"/>
  <c r="C32" i="89"/>
  <c r="C34" i="89"/>
  <c r="D7" i="89"/>
  <c r="D31" i="85"/>
  <c r="H36" i="48"/>
  <c r="F35" i="48"/>
  <c r="E27" i="48"/>
  <c r="G27" i="48"/>
  <c r="F27" i="48"/>
  <c r="E28" i="48"/>
  <c r="F28" i="48"/>
  <c r="F30" i="48"/>
  <c r="F31" i="48"/>
  <c r="F33" i="48"/>
  <c r="F37" i="48"/>
  <c r="G35" i="48"/>
  <c r="E35" i="48"/>
  <c r="H34" i="48"/>
  <c r="E42" i="48"/>
  <c r="H42" i="48"/>
  <c r="E30" i="48"/>
  <c r="G30" i="48"/>
  <c r="H30" i="48"/>
  <c r="G139" i="72"/>
  <c r="H177" i="72"/>
  <c r="B16" i="89"/>
  <c r="B18" i="89"/>
  <c r="B24" i="89"/>
  <c r="B32" i="89"/>
  <c r="B34" i="89"/>
  <c r="D34" i="89"/>
  <c r="D32" i="89"/>
  <c r="F139" i="72"/>
  <c r="H158" i="72"/>
  <c r="D24" i="89"/>
  <c r="F141" i="72"/>
  <c r="D139" i="72"/>
  <c r="E139" i="72"/>
  <c r="G141" i="72"/>
  <c r="H139" i="72"/>
  <c r="F189" i="55"/>
  <c r="E189" i="55"/>
  <c r="D141" i="72"/>
  <c r="E141" i="72"/>
  <c r="D200" i="55"/>
  <c r="F24" i="22"/>
  <c r="C35" i="85"/>
  <c r="G67" i="57"/>
  <c r="I177" i="72"/>
  <c r="I139" i="72"/>
  <c r="I156" i="72"/>
  <c r="I158" i="72"/>
  <c r="I157" i="72"/>
  <c r="I141" i="72"/>
  <c r="I176" i="72"/>
  <c r="I180" i="72"/>
  <c r="I159" i="72"/>
  <c r="I155" i="72"/>
  <c r="J133" i="72"/>
  <c r="F36" i="61"/>
  <c r="C11" i="21"/>
  <c r="C11" i="85"/>
  <c r="C196" i="85"/>
  <c r="G41" i="48"/>
  <c r="E41" i="48"/>
  <c r="E47" i="48"/>
  <c r="F41" i="48"/>
  <c r="H41" i="48"/>
  <c r="H47" i="48"/>
  <c r="D29" i="85"/>
  <c r="D29" i="21"/>
  <c r="A134" i="53"/>
  <c r="A202" i="53"/>
  <c r="A66" i="53"/>
  <c r="A72" i="53"/>
  <c r="A140" i="53"/>
  <c r="A208" i="53"/>
  <c r="G41" i="84"/>
  <c r="H40" i="84"/>
  <c r="H41" i="84"/>
  <c r="A76" i="83"/>
  <c r="A37" i="55"/>
  <c r="A94" i="55"/>
  <c r="A146" i="55"/>
  <c r="H176" i="72"/>
  <c r="H180" i="72"/>
  <c r="G18" i="22"/>
  <c r="B28" i="85"/>
  <c r="B28" i="21"/>
  <c r="C29" i="85"/>
  <c r="C29" i="21"/>
  <c r="D10" i="89"/>
  <c r="H159" i="72"/>
  <c r="H155" i="72"/>
  <c r="H156" i="72"/>
  <c r="C31" i="21"/>
  <c r="H32" i="48"/>
  <c r="H28" i="48"/>
  <c r="I22" i="48"/>
  <c r="G21" i="22"/>
  <c r="G22" i="22"/>
  <c r="F33" i="72"/>
  <c r="G42" i="48"/>
  <c r="F42" i="48"/>
  <c r="H33" i="48"/>
  <c r="H27" i="48"/>
  <c r="G17" i="22"/>
  <c r="G9" i="22"/>
  <c r="E33" i="48"/>
  <c r="E37" i="48"/>
  <c r="G156" i="72"/>
  <c r="G176" i="72"/>
  <c r="G180" i="72"/>
  <c r="A86" i="53"/>
  <c r="A141" i="53"/>
  <c r="A209" i="53"/>
  <c r="A75" i="53"/>
  <c r="H29" i="42"/>
  <c r="H37" i="42"/>
  <c r="H43" i="42"/>
  <c r="I17" i="42"/>
  <c r="H28" i="42"/>
  <c r="A93" i="53"/>
  <c r="G27" i="42"/>
  <c r="G29" i="42"/>
  <c r="G37" i="42"/>
  <c r="G43" i="42"/>
  <c r="A176" i="53"/>
  <c r="A241" i="53"/>
  <c r="A119" i="83"/>
  <c r="A50" i="53"/>
  <c r="A117" i="83"/>
  <c r="A48" i="53"/>
  <c r="A94" i="53"/>
  <c r="A162" i="53"/>
  <c r="A230" i="53"/>
  <c r="A97" i="83"/>
  <c r="A82" i="53"/>
  <c r="A72" i="81"/>
  <c r="A106" i="81"/>
  <c r="A23" i="53"/>
  <c r="A27" i="72"/>
  <c r="A51" i="72"/>
  <c r="A106" i="72"/>
  <c r="G31" i="48"/>
  <c r="G37" i="48"/>
  <c r="H31" i="48"/>
  <c r="A30" i="55"/>
  <c r="A87" i="55"/>
  <c r="A139" i="55"/>
  <c r="A42" i="55"/>
  <c r="A99" i="55"/>
  <c r="A151" i="55"/>
  <c r="A98" i="83"/>
  <c r="A59" i="55"/>
  <c r="A116" i="55"/>
  <c r="A168" i="55"/>
  <c r="A53" i="55"/>
  <c r="A110" i="55"/>
  <c r="A162" i="55"/>
  <c r="B33" i="21"/>
  <c r="B33" i="85"/>
  <c r="F39" i="61"/>
  <c r="C10" i="85"/>
  <c r="C195" i="85"/>
  <c r="H27" i="42"/>
  <c r="H34" i="42"/>
  <c r="D18" i="89"/>
  <c r="H157" i="72"/>
  <c r="H141" i="72"/>
  <c r="G15" i="22"/>
  <c r="G8" i="22"/>
  <c r="G20" i="22"/>
  <c r="G11" i="22"/>
  <c r="H4" i="22"/>
  <c r="G14" i="22"/>
  <c r="A95" i="81"/>
  <c r="A12" i="53"/>
  <c r="A16" i="72"/>
  <c r="A40" i="72"/>
  <c r="A69" i="72"/>
  <c r="A79" i="81"/>
  <c r="A23" i="55"/>
  <c r="A80" i="55"/>
  <c r="A132" i="55"/>
  <c r="I173" i="85"/>
  <c r="I258" i="85"/>
  <c r="B30" i="21"/>
  <c r="B30" i="85"/>
  <c r="E45" i="42"/>
  <c r="E47" i="42"/>
  <c r="C20" i="21"/>
  <c r="F52" i="61"/>
  <c r="G19" i="22"/>
  <c r="G16" i="22"/>
  <c r="H50" i="48"/>
  <c r="H52" i="48"/>
  <c r="H29" i="48"/>
  <c r="H222" i="85"/>
  <c r="G220" i="53"/>
  <c r="A90" i="53"/>
  <c r="A158" i="53"/>
  <c r="A226" i="53"/>
  <c r="G269" i="53"/>
  <c r="G266" i="53"/>
  <c r="G267" i="53"/>
  <c r="G268" i="53"/>
  <c r="G274" i="53"/>
  <c r="H124" i="53"/>
  <c r="F266" i="53"/>
  <c r="F267" i="53"/>
  <c r="F269" i="53"/>
  <c r="F206" i="53"/>
  <c r="G181" i="84"/>
  <c r="G185" i="84"/>
  <c r="H149" i="84"/>
  <c r="F219" i="53"/>
  <c r="A76" i="81"/>
  <c r="A20" i="55"/>
  <c r="A77" i="55"/>
  <c r="A129" i="55"/>
  <c r="A22" i="84"/>
  <c r="A53" i="84"/>
  <c r="A102" i="84"/>
  <c r="A111" i="83"/>
  <c r="A42" i="53"/>
  <c r="A55" i="55"/>
  <c r="A112" i="55"/>
  <c r="A164" i="55"/>
  <c r="A94" i="83"/>
  <c r="G28" i="42"/>
  <c r="H272" i="85"/>
  <c r="G244" i="53"/>
  <c r="A68" i="53"/>
  <c r="A108" i="81"/>
  <c r="A25" i="53"/>
  <c r="F220" i="53"/>
  <c r="A148" i="53"/>
  <c r="A216" i="53"/>
  <c r="A80" i="53"/>
  <c r="A64" i="53"/>
  <c r="A132" i="53"/>
  <c r="A200" i="53"/>
  <c r="A170" i="53"/>
  <c r="A238" i="53"/>
  <c r="E113" i="81"/>
  <c r="D30" i="53"/>
  <c r="D83" i="53"/>
  <c r="A87" i="53"/>
  <c r="A155" i="53"/>
  <c r="A223" i="53"/>
  <c r="A44" i="55"/>
  <c r="A101" i="55"/>
  <c r="A153" i="55"/>
  <c r="A114" i="83"/>
  <c r="A45" i="53"/>
  <c r="A25" i="84"/>
  <c r="A56" i="84"/>
  <c r="A114" i="84"/>
  <c r="E9" i="42"/>
  <c r="D10" i="42"/>
  <c r="F21" i="42"/>
  <c r="F23" i="42"/>
  <c r="C44" i="84"/>
  <c r="D142" i="29"/>
  <c r="D127" i="29"/>
  <c r="D157" i="29"/>
  <c r="D34" i="29"/>
  <c r="C30" i="85"/>
  <c r="C30" i="21"/>
  <c r="F268" i="53"/>
  <c r="F181" i="84"/>
  <c r="F185" i="84"/>
  <c r="A14" i="72"/>
  <c r="A38" i="72"/>
  <c r="A62" i="72"/>
  <c r="A93" i="81"/>
  <c r="A10" i="53"/>
  <c r="A31" i="55"/>
  <c r="A88" i="55"/>
  <c r="A140" i="55"/>
  <c r="A87" i="81"/>
  <c r="A112" i="81"/>
  <c r="A30" i="53"/>
  <c r="A79" i="83"/>
  <c r="A40" i="55"/>
  <c r="A97" i="55"/>
  <c r="A149" i="55"/>
  <c r="E268" i="53"/>
  <c r="E269" i="53"/>
  <c r="E274" i="53"/>
  <c r="E244" i="53"/>
  <c r="E215" i="53"/>
  <c r="E152" i="53"/>
  <c r="E220" i="53"/>
  <c r="F152" i="53"/>
  <c r="D274" i="53"/>
  <c r="A110" i="81"/>
  <c r="A28" i="53"/>
  <c r="A31" i="72"/>
  <c r="A55" i="72"/>
  <c r="A118" i="72"/>
  <c r="A116" i="83"/>
  <c r="A47" i="53"/>
  <c r="A27" i="84"/>
  <c r="A58" i="84"/>
  <c r="A119" i="84"/>
  <c r="F27" i="42"/>
  <c r="F28" i="42"/>
  <c r="F34" i="42"/>
  <c r="F37" i="42"/>
  <c r="F43" i="42"/>
  <c r="A20" i="72"/>
  <c r="A44" i="72"/>
  <c r="A83" i="72"/>
  <c r="A99" i="81"/>
  <c r="A16" i="53"/>
  <c r="A105" i="83"/>
  <c r="A36" i="53"/>
  <c r="A16" i="84"/>
  <c r="A47" i="84"/>
  <c r="A79" i="84"/>
  <c r="C105" i="83"/>
  <c r="C107" i="83"/>
  <c r="C109" i="83"/>
  <c r="C106" i="83"/>
  <c r="C108" i="83"/>
  <c r="C110" i="83"/>
  <c r="C113" i="83"/>
  <c r="C112" i="83"/>
  <c r="C116" i="83"/>
  <c r="D100" i="83"/>
  <c r="E100" i="83"/>
  <c r="F100" i="83"/>
  <c r="G100" i="83"/>
  <c r="H100" i="83"/>
  <c r="C79" i="83"/>
  <c r="C78" i="83"/>
  <c r="C80" i="83"/>
  <c r="C84" i="83"/>
  <c r="C88" i="83"/>
  <c r="D72" i="83"/>
  <c r="E72" i="83"/>
  <c r="F72" i="83"/>
  <c r="G72" i="83"/>
  <c r="H72" i="83"/>
  <c r="C50" i="83"/>
  <c r="C56" i="83"/>
  <c r="C57" i="83"/>
  <c r="C60" i="83"/>
  <c r="C52" i="83"/>
  <c r="C51" i="83"/>
  <c r="E181" i="84"/>
  <c r="E180" i="84"/>
  <c r="D14" i="81"/>
  <c r="D18" i="81"/>
  <c r="C23" i="81"/>
  <c r="D16" i="81"/>
  <c r="D20" i="81"/>
  <c r="D21" i="81"/>
  <c r="D15" i="81"/>
  <c r="D19" i="81"/>
  <c r="D17" i="81"/>
  <c r="C32" i="81"/>
  <c r="D22" i="81"/>
  <c r="B53" i="83"/>
  <c r="B81" i="83"/>
  <c r="B114" i="83"/>
  <c r="F27" i="83"/>
  <c r="H27" i="83"/>
  <c r="D33" i="83"/>
  <c r="D34" i="83"/>
  <c r="D35" i="83"/>
  <c r="D36" i="83"/>
  <c r="B54" i="83"/>
  <c r="B82" i="83"/>
  <c r="D162" i="53"/>
  <c r="D230" i="53"/>
  <c r="D233" i="53"/>
  <c r="D165" i="53"/>
  <c r="D158" i="53"/>
  <c r="D226" i="53"/>
  <c r="B24" i="84"/>
  <c r="B55" i="84"/>
  <c r="C85" i="83"/>
  <c r="B49" i="83"/>
  <c r="B77" i="83"/>
  <c r="B118" i="83"/>
  <c r="F31" i="83"/>
  <c r="H31" i="83"/>
  <c r="D164" i="53"/>
  <c r="D232" i="53"/>
  <c r="B111" i="83"/>
  <c r="F24" i="83"/>
  <c r="H24" i="83"/>
  <c r="B115" i="83"/>
  <c r="F28" i="83"/>
  <c r="H28" i="83"/>
  <c r="D157" i="53"/>
  <c r="D225" i="53"/>
  <c r="D34" i="42"/>
  <c r="B10" i="21"/>
  <c r="E39" i="61"/>
  <c r="D30" i="83"/>
  <c r="D37" i="83"/>
  <c r="D38" i="83"/>
  <c r="D39" i="83"/>
  <c r="D40" i="83"/>
  <c r="D14" i="83"/>
  <c r="D15" i="83"/>
  <c r="D16" i="83"/>
  <c r="F161" i="72"/>
  <c r="J161" i="72"/>
  <c r="H160" i="72"/>
  <c r="Q16" i="61"/>
  <c r="R9" i="61"/>
  <c r="R16" i="61"/>
  <c r="D12" i="87"/>
  <c r="D15" i="87"/>
  <c r="F187" i="55"/>
  <c r="E187" i="55"/>
  <c r="F142" i="72"/>
  <c r="C16" i="87"/>
  <c r="C15" i="87"/>
  <c r="I160" i="72"/>
  <c r="I165" i="72"/>
  <c r="G142" i="72"/>
  <c r="F188" i="55"/>
  <c r="E199" i="55"/>
  <c r="D16" i="87"/>
  <c r="E180" i="55"/>
  <c r="I161" i="72"/>
  <c r="E160" i="72"/>
  <c r="E188" i="55"/>
  <c r="E159" i="72"/>
  <c r="F138" i="57"/>
  <c r="F141" i="57"/>
  <c r="J160" i="72"/>
  <c r="F199" i="55"/>
  <c r="F160" i="72"/>
  <c r="J159" i="72"/>
  <c r="I142" i="72"/>
  <c r="R12" i="87"/>
  <c r="F159" i="72"/>
  <c r="J165" i="72"/>
  <c r="H142" i="72"/>
  <c r="E8" i="87"/>
  <c r="E10" i="87"/>
  <c r="E12" i="87"/>
  <c r="E19" i="87"/>
  <c r="D9" i="87"/>
  <c r="E200" i="55"/>
  <c r="D199" i="55"/>
  <c r="G165" i="72"/>
  <c r="O12" i="87"/>
  <c r="G161" i="72"/>
  <c r="J142" i="72"/>
  <c r="E165" i="72"/>
  <c r="E161" i="72"/>
  <c r="M12" i="87"/>
  <c r="Q13" i="87"/>
  <c r="N12" i="87"/>
  <c r="F165" i="72"/>
  <c r="D165" i="72"/>
  <c r="D161" i="72"/>
  <c r="L12" i="87"/>
  <c r="E142" i="72"/>
  <c r="G160" i="72"/>
  <c r="G159" i="72"/>
  <c r="C19" i="87"/>
  <c r="P10" i="87"/>
  <c r="D160" i="72"/>
  <c r="D159" i="72"/>
  <c r="G172" i="55"/>
  <c r="F218" i="55"/>
  <c r="F216" i="55"/>
  <c r="E218" i="55"/>
  <c r="E221" i="55"/>
  <c r="V11" i="61"/>
  <c r="V16" i="61"/>
  <c r="G13" i="57"/>
  <c r="I13" i="57"/>
  <c r="G49" i="57"/>
  <c r="G50" i="57"/>
  <c r="G68" i="57"/>
  <c r="G91" i="57"/>
  <c r="G92" i="57"/>
  <c r="E73" i="86"/>
  <c r="F73" i="86"/>
  <c r="F121" i="57"/>
  <c r="G83" i="57"/>
  <c r="G84" i="57"/>
  <c r="E72" i="86"/>
  <c r="F72" i="86"/>
  <c r="G73" i="57"/>
  <c r="E71" i="86"/>
  <c r="F71" i="86"/>
  <c r="D10" i="62"/>
  <c r="E79" i="86"/>
  <c r="F79" i="86"/>
  <c r="F122" i="57"/>
  <c r="C56" i="22"/>
  <c r="C20" i="68"/>
  <c r="F9" i="62"/>
  <c r="E24" i="22"/>
  <c r="B35" i="85"/>
  <c r="C35" i="21"/>
  <c r="G24" i="22"/>
  <c r="D35" i="85"/>
  <c r="F65" i="86"/>
  <c r="E69" i="86"/>
  <c r="F69" i="86"/>
  <c r="D162" i="72"/>
  <c r="E70" i="86"/>
  <c r="F70" i="86"/>
  <c r="D5" i="62"/>
  <c r="F63" i="86"/>
  <c r="F162" i="72"/>
  <c r="G162" i="72"/>
  <c r="C32" i="85"/>
  <c r="C32" i="21"/>
  <c r="E33" i="85"/>
  <c r="E33" i="21"/>
  <c r="G36" i="61"/>
  <c r="D11" i="85"/>
  <c r="D196" i="85"/>
  <c r="D11" i="21"/>
  <c r="E36" i="61"/>
  <c r="B11" i="21"/>
  <c r="B11" i="85"/>
  <c r="B196" i="85"/>
  <c r="D33" i="21"/>
  <c r="D33" i="85"/>
  <c r="B102" i="83"/>
  <c r="F14" i="83"/>
  <c r="H14" i="83"/>
  <c r="N14" i="83"/>
  <c r="H74" i="83"/>
  <c r="H13" i="84"/>
  <c r="M14" i="83"/>
  <c r="G74" i="83"/>
  <c r="G13" i="84"/>
  <c r="J14" i="83"/>
  <c r="D74" i="83"/>
  <c r="D13" i="84"/>
  <c r="K14" i="83"/>
  <c r="E74" i="83"/>
  <c r="E13" i="84"/>
  <c r="L14" i="83"/>
  <c r="F74" i="83"/>
  <c r="F13" i="84"/>
  <c r="B123" i="83"/>
  <c r="F37" i="83"/>
  <c r="H37" i="83"/>
  <c r="E52" i="61"/>
  <c r="B20" i="21"/>
  <c r="D45" i="42"/>
  <c r="D47" i="42"/>
  <c r="B20" i="85"/>
  <c r="C46" i="53"/>
  <c r="C99" i="53"/>
  <c r="C115" i="83"/>
  <c r="B38" i="55"/>
  <c r="B95" i="55"/>
  <c r="B147" i="55"/>
  <c r="C49" i="83"/>
  <c r="B121" i="83"/>
  <c r="F35" i="83"/>
  <c r="H35" i="83"/>
  <c r="C45" i="53"/>
  <c r="C98" i="53"/>
  <c r="C114" i="83"/>
  <c r="D34" i="81"/>
  <c r="D36" i="81"/>
  <c r="D33" i="81"/>
  <c r="D35" i="81"/>
  <c r="F35" i="81"/>
  <c r="H35" i="81"/>
  <c r="B99" i="81"/>
  <c r="F21" i="81"/>
  <c r="H21" i="81"/>
  <c r="B96" i="81"/>
  <c r="F18" i="81"/>
  <c r="H18" i="81"/>
  <c r="D51" i="83"/>
  <c r="C40" i="55"/>
  <c r="C97" i="55"/>
  <c r="C149" i="55"/>
  <c r="D56" i="83"/>
  <c r="C45" i="55"/>
  <c r="C102" i="55"/>
  <c r="C154" i="55"/>
  <c r="D84" i="83"/>
  <c r="C23" i="84"/>
  <c r="C54" i="84"/>
  <c r="D110" i="83"/>
  <c r="D41" i="53"/>
  <c r="D94" i="53"/>
  <c r="D107" i="83"/>
  <c r="D38" i="53"/>
  <c r="D91" i="53"/>
  <c r="A69" i="53"/>
  <c r="A137" i="53"/>
  <c r="A205" i="53"/>
  <c r="D20" i="21"/>
  <c r="D20" i="85"/>
  <c r="F45" i="42"/>
  <c r="G52" i="61"/>
  <c r="A81" i="53"/>
  <c r="A149" i="53"/>
  <c r="A217" i="53"/>
  <c r="A107" i="83"/>
  <c r="A38" i="53"/>
  <c r="A18" i="84"/>
  <c r="A49" i="84"/>
  <c r="A87" i="84"/>
  <c r="A166" i="53"/>
  <c r="A234" i="53"/>
  <c r="A98" i="53"/>
  <c r="E219" i="53"/>
  <c r="E151" i="53"/>
  <c r="A146" i="53"/>
  <c r="A214" i="53"/>
  <c r="A78" i="53"/>
  <c r="A101" i="81"/>
  <c r="A18" i="53"/>
  <c r="A22" i="72"/>
  <c r="A46" i="72"/>
  <c r="A91" i="72"/>
  <c r="E32" i="21"/>
  <c r="E32" i="85"/>
  <c r="A104" i="81"/>
  <c r="A21" i="53"/>
  <c r="A25" i="72"/>
  <c r="A49" i="72"/>
  <c r="A100" i="72"/>
  <c r="H8" i="22"/>
  <c r="H23" i="22"/>
  <c r="H20" i="22"/>
  <c r="H19" i="22"/>
  <c r="H18" i="22"/>
  <c r="H15" i="22"/>
  <c r="H17" i="22"/>
  <c r="H10" i="22"/>
  <c r="I4" i="22"/>
  <c r="H21" i="22"/>
  <c r="H9" i="22"/>
  <c r="H12" i="22"/>
  <c r="H16" i="22"/>
  <c r="H13" i="22"/>
  <c r="H11" i="22"/>
  <c r="H22" i="22"/>
  <c r="H14" i="22"/>
  <c r="I52" i="61"/>
  <c r="F20" i="21"/>
  <c r="F20" i="85"/>
  <c r="H45" i="42"/>
  <c r="A126" i="83"/>
  <c r="A57" i="53"/>
  <c r="A37" i="84"/>
  <c r="A65" i="84"/>
  <c r="A135" i="84"/>
  <c r="A18" i="72"/>
  <c r="A42" i="72"/>
  <c r="A77" i="72"/>
  <c r="A97" i="81"/>
  <c r="A14" i="53"/>
  <c r="E30" i="21"/>
  <c r="E30" i="85"/>
  <c r="H37" i="48"/>
  <c r="I50" i="48"/>
  <c r="I52" i="48"/>
  <c r="I29" i="48"/>
  <c r="I32" i="48"/>
  <c r="I36" i="48"/>
  <c r="I31" i="48"/>
  <c r="I42" i="48"/>
  <c r="I30" i="48"/>
  <c r="J22" i="48"/>
  <c r="I27" i="48"/>
  <c r="I34" i="48"/>
  <c r="I28" i="48"/>
  <c r="I35" i="48"/>
  <c r="I33" i="48"/>
  <c r="G29" i="21"/>
  <c r="G29" i="85"/>
  <c r="B32" i="85"/>
  <c r="B36" i="85"/>
  <c r="D19" i="87"/>
  <c r="B126" i="83"/>
  <c r="F40" i="83"/>
  <c r="H40" i="83"/>
  <c r="B117" i="83"/>
  <c r="F30" i="83"/>
  <c r="H30" i="83"/>
  <c r="B55" i="83"/>
  <c r="B83" i="83"/>
  <c r="B62" i="83"/>
  <c r="B90" i="83"/>
  <c r="D85" i="83"/>
  <c r="C24" i="84"/>
  <c r="C55" i="84"/>
  <c r="B21" i="84"/>
  <c r="B52" i="84"/>
  <c r="C82" i="83"/>
  <c r="B120" i="83"/>
  <c r="F34" i="83"/>
  <c r="H34" i="83"/>
  <c r="B20" i="84"/>
  <c r="B51" i="84"/>
  <c r="C81" i="83"/>
  <c r="B95" i="81"/>
  <c r="F17" i="81"/>
  <c r="H17" i="81"/>
  <c r="B98" i="81"/>
  <c r="F20" i="81"/>
  <c r="H20" i="81"/>
  <c r="F14" i="81"/>
  <c r="H14" i="81"/>
  <c r="B92" i="81"/>
  <c r="J14" i="81"/>
  <c r="K14" i="81"/>
  <c r="N14" i="81"/>
  <c r="L14" i="81"/>
  <c r="M14" i="81"/>
  <c r="D52" i="83"/>
  <c r="C41" i="55"/>
  <c r="C98" i="55"/>
  <c r="C150" i="55"/>
  <c r="D50" i="83"/>
  <c r="C39" i="55"/>
  <c r="C96" i="55"/>
  <c r="C148" i="55"/>
  <c r="D80" i="83"/>
  <c r="C19" i="84"/>
  <c r="C50" i="84"/>
  <c r="D116" i="83"/>
  <c r="D47" i="53"/>
  <c r="D100" i="53"/>
  <c r="D108" i="83"/>
  <c r="D39" i="53"/>
  <c r="D92" i="53"/>
  <c r="D105" i="83"/>
  <c r="D36" i="53"/>
  <c r="D89" i="53"/>
  <c r="B32" i="21"/>
  <c r="A83" i="53"/>
  <c r="A151" i="53"/>
  <c r="A219" i="53"/>
  <c r="D10" i="21"/>
  <c r="D10" i="85"/>
  <c r="D195" i="85"/>
  <c r="G39" i="61"/>
  <c r="F47" i="42"/>
  <c r="F30" i="53"/>
  <c r="F83" i="53"/>
  <c r="F113" i="81"/>
  <c r="A95" i="53"/>
  <c r="A163" i="53"/>
  <c r="A231" i="53"/>
  <c r="H268" i="53"/>
  <c r="H269" i="53"/>
  <c r="H266" i="53"/>
  <c r="I124" i="53"/>
  <c r="H244" i="53"/>
  <c r="H215" i="53"/>
  <c r="H267" i="53"/>
  <c r="H206" i="53"/>
  <c r="H152" i="53"/>
  <c r="H220" i="53"/>
  <c r="A169" i="53"/>
  <c r="A237" i="53"/>
  <c r="A101" i="53"/>
  <c r="I27" i="42"/>
  <c r="I28" i="42"/>
  <c r="I37" i="42"/>
  <c r="I43" i="42"/>
  <c r="I29" i="42"/>
  <c r="J17" i="42"/>
  <c r="F34" i="72"/>
  <c r="G33" i="72"/>
  <c r="F29" i="85"/>
  <c r="F29" i="21"/>
  <c r="A15" i="84"/>
  <c r="A46" i="84"/>
  <c r="A75" i="84"/>
  <c r="A104" i="83"/>
  <c r="A35" i="53"/>
  <c r="F47" i="48"/>
  <c r="J158" i="72"/>
  <c r="J155" i="72"/>
  <c r="J139" i="72"/>
  <c r="J176" i="72"/>
  <c r="J177" i="72"/>
  <c r="J157" i="72"/>
  <c r="J156" i="72"/>
  <c r="J141" i="72"/>
  <c r="C87" i="22"/>
  <c r="C88" i="22"/>
  <c r="B43" i="85"/>
  <c r="B104" i="83"/>
  <c r="F16" i="83"/>
  <c r="H16" i="83"/>
  <c r="B125" i="83"/>
  <c r="F39" i="83"/>
  <c r="H39" i="83"/>
  <c r="C42" i="53"/>
  <c r="C95" i="53"/>
  <c r="C111" i="83"/>
  <c r="C49" i="53"/>
  <c r="C102" i="53"/>
  <c r="C118" i="83"/>
  <c r="B43" i="55"/>
  <c r="B100" i="55"/>
  <c r="B152" i="55"/>
  <c r="C54" i="83"/>
  <c r="F33" i="83"/>
  <c r="H33" i="83"/>
  <c r="B119" i="83"/>
  <c r="B42" i="55"/>
  <c r="B99" i="55"/>
  <c r="B151" i="55"/>
  <c r="C53" i="83"/>
  <c r="B97" i="81"/>
  <c r="F19" i="81"/>
  <c r="H19" i="81"/>
  <c r="B94" i="81"/>
  <c r="F16" i="81"/>
  <c r="H16" i="81"/>
  <c r="E185" i="84"/>
  <c r="D60" i="83"/>
  <c r="C49" i="55"/>
  <c r="C106" i="55"/>
  <c r="C158" i="55"/>
  <c r="D78" i="83"/>
  <c r="C17" i="84"/>
  <c r="C48" i="84"/>
  <c r="D112" i="83"/>
  <c r="D43" i="53"/>
  <c r="D96" i="53"/>
  <c r="D106" i="83"/>
  <c r="D37" i="53"/>
  <c r="D90" i="53"/>
  <c r="D30" i="85"/>
  <c r="D30" i="21"/>
  <c r="A168" i="53"/>
  <c r="A236" i="53"/>
  <c r="A100" i="53"/>
  <c r="E10" i="42"/>
  <c r="G21" i="42"/>
  <c r="G23" i="42"/>
  <c r="F9" i="42"/>
  <c r="F151" i="53"/>
  <c r="E31" i="21"/>
  <c r="E31" i="85"/>
  <c r="A133" i="53"/>
  <c r="A201" i="53"/>
  <c r="A65" i="53"/>
  <c r="A125" i="83"/>
  <c r="A56" i="53"/>
  <c r="A36" i="84"/>
  <c r="A64" i="84"/>
  <c r="A131" i="84"/>
  <c r="A171" i="53"/>
  <c r="A239" i="53"/>
  <c r="A103" i="53"/>
  <c r="G34" i="42"/>
  <c r="F30" i="21"/>
  <c r="F30" i="85"/>
  <c r="I41" i="48"/>
  <c r="I47" i="48"/>
  <c r="E53" i="48"/>
  <c r="E55" i="48"/>
  <c r="E49" i="61"/>
  <c r="B21" i="21"/>
  <c r="B21" i="85"/>
  <c r="D35" i="29"/>
  <c r="D128" i="29"/>
  <c r="D158" i="29"/>
  <c r="D173" i="29"/>
  <c r="D143" i="29"/>
  <c r="F15" i="83"/>
  <c r="H15" i="83"/>
  <c r="B103" i="83"/>
  <c r="F38" i="83"/>
  <c r="H38" i="83"/>
  <c r="B124" i="83"/>
  <c r="C34" i="29"/>
  <c r="C157" i="29"/>
  <c r="C172" i="29"/>
  <c r="C142" i="29"/>
  <c r="C127" i="29"/>
  <c r="B87" i="83"/>
  <c r="B59" i="83"/>
  <c r="C77" i="83"/>
  <c r="B16" i="84"/>
  <c r="B47" i="84"/>
  <c r="B122" i="83"/>
  <c r="F36" i="83"/>
  <c r="H36" i="83"/>
  <c r="B86" i="83"/>
  <c r="B58" i="83"/>
  <c r="F22" i="81"/>
  <c r="H22" i="81"/>
  <c r="B100" i="81"/>
  <c r="C100" i="81"/>
  <c r="D100" i="81"/>
  <c r="E100" i="81"/>
  <c r="F100" i="81"/>
  <c r="G100" i="81"/>
  <c r="H100" i="81"/>
  <c r="B93" i="81"/>
  <c r="F15" i="81"/>
  <c r="H15" i="81"/>
  <c r="D27" i="81"/>
  <c r="D31" i="81"/>
  <c r="D25" i="81"/>
  <c r="D29" i="81"/>
  <c r="D26" i="81"/>
  <c r="D28" i="81"/>
  <c r="D30" i="81"/>
  <c r="D24" i="81"/>
  <c r="D57" i="83"/>
  <c r="C46" i="55"/>
  <c r="C103" i="55"/>
  <c r="C155" i="55"/>
  <c r="D88" i="83"/>
  <c r="C27" i="84"/>
  <c r="C58" i="84"/>
  <c r="D79" i="83"/>
  <c r="C18" i="84"/>
  <c r="C49" i="84"/>
  <c r="D113" i="83"/>
  <c r="D44" i="53"/>
  <c r="D97" i="53"/>
  <c r="D109" i="83"/>
  <c r="D40" i="53"/>
  <c r="D93" i="53"/>
  <c r="A157" i="53"/>
  <c r="A225" i="53"/>
  <c r="A89" i="53"/>
  <c r="A131" i="53"/>
  <c r="A199" i="53"/>
  <c r="A63" i="53"/>
  <c r="A122" i="83"/>
  <c r="A53" i="53"/>
  <c r="A33" i="84"/>
  <c r="H180" i="84"/>
  <c r="H181" i="84"/>
  <c r="I149" i="84"/>
  <c r="F274" i="53"/>
  <c r="A76" i="53"/>
  <c r="A144" i="53"/>
  <c r="A212" i="53"/>
  <c r="E29" i="21"/>
  <c r="E29" i="85"/>
  <c r="E21" i="21"/>
  <c r="H53" i="48"/>
  <c r="H49" i="61"/>
  <c r="E21" i="85"/>
  <c r="G47" i="48"/>
  <c r="R13" i="87"/>
  <c r="R22" i="87"/>
  <c r="E179" i="55"/>
  <c r="F8" i="87"/>
  <c r="F9" i="87"/>
  <c r="G200" i="55"/>
  <c r="E206" i="55"/>
  <c r="E9" i="87"/>
  <c r="F200" i="55"/>
  <c r="E205" i="55"/>
  <c r="D205" i="55"/>
  <c r="D179" i="55"/>
  <c r="E15" i="87"/>
  <c r="E16" i="87"/>
  <c r="D206" i="55"/>
  <c r="D180" i="55"/>
  <c r="B35" i="21"/>
  <c r="B36" i="21"/>
  <c r="C179" i="29"/>
  <c r="E162" i="72"/>
  <c r="E78" i="86"/>
  <c r="F78" i="86"/>
  <c r="D8" i="62"/>
  <c r="G103" i="57"/>
  <c r="G201" i="55"/>
  <c r="I162" i="72"/>
  <c r="F207" i="55"/>
  <c r="J154" i="72"/>
  <c r="Q22" i="87"/>
  <c r="I154" i="72"/>
  <c r="H161" i="72"/>
  <c r="P12" i="87"/>
  <c r="H165" i="72"/>
  <c r="D207" i="55"/>
  <c r="D202" i="55"/>
  <c r="L13" i="87"/>
  <c r="D198" i="55"/>
  <c r="E207" i="55"/>
  <c r="E202" i="55"/>
  <c r="M13" i="87"/>
  <c r="O13" i="87"/>
  <c r="N13" i="87"/>
  <c r="N31" i="87"/>
  <c r="N32" i="87"/>
  <c r="N34" i="87"/>
  <c r="F202" i="55"/>
  <c r="F221" i="55"/>
  <c r="C28" i="85"/>
  <c r="C28" i="21"/>
  <c r="D28" i="21"/>
  <c r="D28" i="85"/>
  <c r="G188" i="55"/>
  <c r="G217" i="55"/>
  <c r="G216" i="55"/>
  <c r="G189" i="55"/>
  <c r="G187" i="55"/>
  <c r="G218" i="55"/>
  <c r="H172" i="55"/>
  <c r="G199" i="55"/>
  <c r="J162" i="72"/>
  <c r="H162" i="72"/>
  <c r="C21" i="68"/>
  <c r="E87" i="22"/>
  <c r="E88" i="22"/>
  <c r="D43" i="85"/>
  <c r="G87" i="22"/>
  <c r="G88" i="22"/>
  <c r="F43" i="85"/>
  <c r="F87" i="22"/>
  <c r="F88" i="22"/>
  <c r="E43" i="85"/>
  <c r="F10" i="62"/>
  <c r="D87" i="22"/>
  <c r="D7" i="62"/>
  <c r="E77" i="86"/>
  <c r="F77" i="86"/>
  <c r="C16" i="68"/>
  <c r="C38" i="22"/>
  <c r="F5" i="62"/>
  <c r="C19" i="68"/>
  <c r="D6" i="62"/>
  <c r="K56" i="22"/>
  <c r="D57" i="22"/>
  <c r="H57" i="22"/>
  <c r="G57" i="22"/>
  <c r="I57" i="22"/>
  <c r="E57" i="22"/>
  <c r="F57" i="22"/>
  <c r="C57" i="22"/>
  <c r="C58" i="22"/>
  <c r="D35" i="21"/>
  <c r="C134" i="29"/>
  <c r="E201" i="55"/>
  <c r="F75" i="86"/>
  <c r="F201" i="55"/>
  <c r="C62" i="22"/>
  <c r="F63" i="22"/>
  <c r="F8" i="62"/>
  <c r="B43" i="21"/>
  <c r="F80" i="86"/>
  <c r="F81" i="86"/>
  <c r="G60" i="86"/>
  <c r="D201" i="55"/>
  <c r="G53" i="48"/>
  <c r="G55" i="48"/>
  <c r="D21" i="21"/>
  <c r="D21" i="85"/>
  <c r="G49" i="61"/>
  <c r="A174" i="53"/>
  <c r="A106" i="53"/>
  <c r="E113" i="83"/>
  <c r="E44" i="53"/>
  <c r="E97" i="53"/>
  <c r="E88" i="83"/>
  <c r="D27" i="84"/>
  <c r="D58" i="84"/>
  <c r="B107" i="81"/>
  <c r="F30" i="81"/>
  <c r="H30" i="81"/>
  <c r="F25" i="81"/>
  <c r="H25" i="81"/>
  <c r="B102" i="81"/>
  <c r="C10" i="53"/>
  <c r="C63" i="53"/>
  <c r="C93" i="81"/>
  <c r="B25" i="84"/>
  <c r="B56" i="84"/>
  <c r="C86" i="83"/>
  <c r="D77" i="83"/>
  <c r="C16" i="84"/>
  <c r="C47" i="84"/>
  <c r="C55" i="53"/>
  <c r="C108" i="53"/>
  <c r="C124" i="83"/>
  <c r="E20" i="21"/>
  <c r="H52" i="61"/>
  <c r="E20" i="85"/>
  <c r="G45" i="42"/>
  <c r="A109" i="53"/>
  <c r="A177" i="53"/>
  <c r="A242" i="53"/>
  <c r="E226" i="53"/>
  <c r="E158" i="53"/>
  <c r="C33" i="85"/>
  <c r="C33" i="21"/>
  <c r="C36" i="21"/>
  <c r="D134" i="29"/>
  <c r="C14" i="53"/>
  <c r="C67" i="53"/>
  <c r="C97" i="81"/>
  <c r="B63" i="83"/>
  <c r="B91" i="83"/>
  <c r="D238" i="53"/>
  <c r="D170" i="53"/>
  <c r="C56" i="53"/>
  <c r="C109" i="53"/>
  <c r="C125" i="83"/>
  <c r="E225" i="53"/>
  <c r="E157" i="53"/>
  <c r="E236" i="53"/>
  <c r="E168" i="53"/>
  <c r="C15" i="53"/>
  <c r="C68" i="53"/>
  <c r="C98" i="81"/>
  <c r="B51" i="55"/>
  <c r="B108" i="55"/>
  <c r="B160" i="55"/>
  <c r="C62" i="83"/>
  <c r="C48" i="53"/>
  <c r="C101" i="53"/>
  <c r="C117" i="83"/>
  <c r="J50" i="48"/>
  <c r="J52" i="48"/>
  <c r="J29" i="48"/>
  <c r="J27" i="48"/>
  <c r="J34" i="48"/>
  <c r="K22" i="48"/>
  <c r="J42" i="48"/>
  <c r="J36" i="48"/>
  <c r="J35" i="48"/>
  <c r="J30" i="48"/>
  <c r="J31" i="48"/>
  <c r="J32" i="48"/>
  <c r="J33" i="48"/>
  <c r="J28" i="48"/>
  <c r="J41" i="48"/>
  <c r="J47" i="48"/>
  <c r="E11" i="85"/>
  <c r="E196" i="85"/>
  <c r="H36" i="61"/>
  <c r="E11" i="21"/>
  <c r="H55" i="48"/>
  <c r="E230" i="53"/>
  <c r="E162" i="53"/>
  <c r="B71" i="81"/>
  <c r="B46" i="81"/>
  <c r="B61" i="81"/>
  <c r="B86" i="81"/>
  <c r="C86" i="81"/>
  <c r="D86" i="81"/>
  <c r="E86" i="81"/>
  <c r="F86" i="81"/>
  <c r="G86" i="81"/>
  <c r="H86" i="81"/>
  <c r="D114" i="83"/>
  <c r="D45" i="53"/>
  <c r="D98" i="53"/>
  <c r="D49" i="83"/>
  <c r="C38" i="55"/>
  <c r="C95" i="55"/>
  <c r="C147" i="55"/>
  <c r="B67" i="83"/>
  <c r="B95" i="83"/>
  <c r="D44" i="84"/>
  <c r="C33" i="53"/>
  <c r="C86" i="53"/>
  <c r="C102" i="83"/>
  <c r="C36" i="85"/>
  <c r="D32" i="21"/>
  <c r="D32" i="85"/>
  <c r="E229" i="53"/>
  <c r="E161" i="53"/>
  <c r="B105" i="81"/>
  <c r="F28" i="81"/>
  <c r="H28" i="81"/>
  <c r="F31" i="81"/>
  <c r="H31" i="81"/>
  <c r="B108" i="81"/>
  <c r="B94" i="83"/>
  <c r="B66" i="83"/>
  <c r="C66" i="83"/>
  <c r="D66" i="83"/>
  <c r="E66" i="83"/>
  <c r="F66" i="83"/>
  <c r="G66" i="83"/>
  <c r="H66" i="83"/>
  <c r="B48" i="55"/>
  <c r="B105" i="55"/>
  <c r="B157" i="55"/>
  <c r="C59" i="83"/>
  <c r="B68" i="83"/>
  <c r="B96" i="83"/>
  <c r="I49" i="61"/>
  <c r="I53" i="48"/>
  <c r="F21" i="85"/>
  <c r="F21" i="21"/>
  <c r="E106" i="83"/>
  <c r="E37" i="53"/>
  <c r="E90" i="53"/>
  <c r="E78" i="83"/>
  <c r="D17" i="84"/>
  <c r="D48" i="84"/>
  <c r="B44" i="81"/>
  <c r="B69" i="81"/>
  <c r="D53" i="83"/>
  <c r="C42" i="55"/>
  <c r="C99" i="55"/>
  <c r="C151" i="55"/>
  <c r="D54" i="83"/>
  <c r="C43" i="55"/>
  <c r="C100" i="55"/>
  <c r="C152" i="55"/>
  <c r="D111" i="83"/>
  <c r="D42" i="53"/>
  <c r="D95" i="53"/>
  <c r="B48" i="83"/>
  <c r="B76" i="83"/>
  <c r="J27" i="42"/>
  <c r="J28" i="42"/>
  <c r="J37" i="42"/>
  <c r="J43" i="42"/>
  <c r="J29" i="42"/>
  <c r="I34" i="42"/>
  <c r="E105" i="83"/>
  <c r="E36" i="53"/>
  <c r="E89" i="53"/>
  <c r="E116" i="83"/>
  <c r="E47" i="53"/>
  <c r="E100" i="53"/>
  <c r="E50" i="83"/>
  <c r="D39" i="55"/>
  <c r="D96" i="55"/>
  <c r="D148" i="55"/>
  <c r="C9" i="53"/>
  <c r="C62" i="53"/>
  <c r="C92" i="81"/>
  <c r="B45" i="81"/>
  <c r="B70" i="81"/>
  <c r="B92" i="83"/>
  <c r="B64" i="83"/>
  <c r="C64" i="83"/>
  <c r="D64" i="83"/>
  <c r="E64" i="83"/>
  <c r="F64" i="83"/>
  <c r="G64" i="83"/>
  <c r="H64" i="83"/>
  <c r="B22" i="84"/>
  <c r="B53" i="84"/>
  <c r="C83" i="83"/>
  <c r="B70" i="83"/>
  <c r="B98" i="83"/>
  <c r="A142" i="53"/>
  <c r="A210" i="53"/>
  <c r="A74" i="53"/>
  <c r="A71" i="53"/>
  <c r="A139" i="53"/>
  <c r="A207" i="53"/>
  <c r="A159" i="53"/>
  <c r="A227" i="53"/>
  <c r="A91" i="53"/>
  <c r="E41" i="53"/>
  <c r="E94" i="53"/>
  <c r="E110" i="83"/>
  <c r="E56" i="83"/>
  <c r="D45" i="55"/>
  <c r="D102" i="55"/>
  <c r="D154" i="55"/>
  <c r="C13" i="53"/>
  <c r="C66" i="53"/>
  <c r="C96" i="81"/>
  <c r="F33" i="81"/>
  <c r="H33" i="81"/>
  <c r="B109" i="81"/>
  <c r="C109" i="81"/>
  <c r="D109" i="81"/>
  <c r="E109" i="81"/>
  <c r="F109" i="81"/>
  <c r="G109" i="81"/>
  <c r="H109" i="81"/>
  <c r="D234" i="53"/>
  <c r="D166" i="53"/>
  <c r="C54" i="53"/>
  <c r="C107" i="53"/>
  <c r="C123" i="83"/>
  <c r="G44" i="84"/>
  <c r="C35" i="29"/>
  <c r="C128" i="29"/>
  <c r="C143" i="29"/>
  <c r="C173" i="29"/>
  <c r="C158" i="29"/>
  <c r="E143" i="29"/>
  <c r="E35" i="29"/>
  <c r="E128" i="29"/>
  <c r="E173" i="29"/>
  <c r="E158" i="29"/>
  <c r="D36" i="85"/>
  <c r="H185" i="84"/>
  <c r="E109" i="83"/>
  <c r="E40" i="53"/>
  <c r="E93" i="53"/>
  <c r="E79" i="83"/>
  <c r="D18" i="84"/>
  <c r="D49" i="84"/>
  <c r="E57" i="83"/>
  <c r="D46" i="55"/>
  <c r="D103" i="55"/>
  <c r="D155" i="55"/>
  <c r="B103" i="81"/>
  <c r="F26" i="81"/>
  <c r="H26" i="81"/>
  <c r="F27" i="81"/>
  <c r="H27" i="81"/>
  <c r="B104" i="81"/>
  <c r="B50" i="81"/>
  <c r="B75" i="81"/>
  <c r="C53" i="53"/>
  <c r="C106" i="53"/>
  <c r="D174" i="53"/>
  <c r="C122" i="83"/>
  <c r="B26" i="84"/>
  <c r="B57" i="84"/>
  <c r="C87" i="83"/>
  <c r="C34" i="53"/>
  <c r="C87" i="53"/>
  <c r="C103" i="83"/>
  <c r="G9" i="42"/>
  <c r="F10" i="42"/>
  <c r="H21" i="42"/>
  <c r="H23" i="42"/>
  <c r="E164" i="53"/>
  <c r="E232" i="53"/>
  <c r="C11" i="53"/>
  <c r="C64" i="53"/>
  <c r="C94" i="81"/>
  <c r="D163" i="53"/>
  <c r="D231" i="53"/>
  <c r="C35" i="53"/>
  <c r="C88" i="53"/>
  <c r="C104" i="83"/>
  <c r="J180" i="72"/>
  <c r="F53" i="48"/>
  <c r="F55" i="48"/>
  <c r="C21" i="21"/>
  <c r="C21" i="85"/>
  <c r="F49" i="61"/>
  <c r="I266" i="53"/>
  <c r="I267" i="53"/>
  <c r="I268" i="53"/>
  <c r="I269" i="53"/>
  <c r="I274" i="53"/>
  <c r="I244" i="53"/>
  <c r="I215" i="53"/>
  <c r="I206" i="53"/>
  <c r="J124" i="53"/>
  <c r="I220" i="53"/>
  <c r="I152" i="53"/>
  <c r="G30" i="53"/>
  <c r="G83" i="53"/>
  <c r="G113" i="81"/>
  <c r="E160" i="53"/>
  <c r="E228" i="53"/>
  <c r="B67" i="81"/>
  <c r="B42" i="81"/>
  <c r="C12" i="53"/>
  <c r="C65" i="53"/>
  <c r="C95" i="81"/>
  <c r="C51" i="53"/>
  <c r="C104" i="53"/>
  <c r="D172" i="53"/>
  <c r="C120" i="83"/>
  <c r="E85" i="83"/>
  <c r="D24" i="84"/>
  <c r="D55" i="84"/>
  <c r="C55" i="83"/>
  <c r="B44" i="55"/>
  <c r="B101" i="55"/>
  <c r="B153" i="55"/>
  <c r="C57" i="53"/>
  <c r="C110" i="53"/>
  <c r="C126" i="83"/>
  <c r="A178" i="53"/>
  <c r="A243" i="53"/>
  <c r="A110" i="53"/>
  <c r="E227" i="53"/>
  <c r="E159" i="53"/>
  <c r="B74" i="81"/>
  <c r="B49" i="81"/>
  <c r="B112" i="81"/>
  <c r="F36" i="81"/>
  <c r="H36" i="81"/>
  <c r="B93" i="83"/>
  <c r="B65" i="83"/>
  <c r="C65" i="83"/>
  <c r="D65" i="83"/>
  <c r="E65" i="83"/>
  <c r="F65" i="83"/>
  <c r="G65" i="83"/>
  <c r="H65" i="83"/>
  <c r="D115" i="83"/>
  <c r="D46" i="53"/>
  <c r="D99" i="53"/>
  <c r="F44" i="84"/>
  <c r="H44" i="84"/>
  <c r="D36" i="21"/>
  <c r="E164" i="29"/>
  <c r="I180" i="84"/>
  <c r="J149" i="84"/>
  <c r="I181" i="84"/>
  <c r="E233" i="53"/>
  <c r="E165" i="53"/>
  <c r="B101" i="81"/>
  <c r="F24" i="81"/>
  <c r="H24" i="81"/>
  <c r="B106" i="81"/>
  <c r="F29" i="81"/>
  <c r="H29" i="81"/>
  <c r="B43" i="81"/>
  <c r="B68" i="81"/>
  <c r="B47" i="55"/>
  <c r="B104" i="55"/>
  <c r="B156" i="55"/>
  <c r="C58" i="83"/>
  <c r="B75" i="83"/>
  <c r="B47" i="83"/>
  <c r="E10" i="85"/>
  <c r="E195" i="85"/>
  <c r="E10" i="21"/>
  <c r="H39" i="61"/>
  <c r="G47" i="42"/>
  <c r="E112" i="83"/>
  <c r="E43" i="53"/>
  <c r="E96" i="53"/>
  <c r="E60" i="83"/>
  <c r="D49" i="55"/>
  <c r="D106" i="55"/>
  <c r="D158" i="55"/>
  <c r="B47" i="81"/>
  <c r="B72" i="81"/>
  <c r="C50" i="53"/>
  <c r="C103" i="53"/>
  <c r="C119" i="83"/>
  <c r="D118" i="83"/>
  <c r="D49" i="53"/>
  <c r="D102" i="53"/>
  <c r="B69" i="83"/>
  <c r="B97" i="83"/>
  <c r="L31" i="87"/>
  <c r="L32" i="87"/>
  <c r="L34" i="87"/>
  <c r="A156" i="53"/>
  <c r="A224" i="53"/>
  <c r="A88" i="53"/>
  <c r="G34" i="72"/>
  <c r="H33" i="72"/>
  <c r="H34" i="72"/>
  <c r="G30" i="85"/>
  <c r="G30" i="21"/>
  <c r="H274" i="53"/>
  <c r="G151" i="53"/>
  <c r="G219" i="53"/>
  <c r="E172" i="29"/>
  <c r="E127" i="29"/>
  <c r="E157" i="29"/>
  <c r="E34" i="29"/>
  <c r="E142" i="29"/>
  <c r="E108" i="83"/>
  <c r="E39" i="53"/>
  <c r="E92" i="53"/>
  <c r="E80" i="83"/>
  <c r="D19" i="84"/>
  <c r="D50" i="84"/>
  <c r="E52" i="83"/>
  <c r="D41" i="55"/>
  <c r="D98" i="55"/>
  <c r="D150" i="55"/>
  <c r="B48" i="81"/>
  <c r="B73" i="81"/>
  <c r="D81" i="83"/>
  <c r="C20" i="84"/>
  <c r="C51" i="84"/>
  <c r="D82" i="83"/>
  <c r="C21" i="84"/>
  <c r="C52" i="84"/>
  <c r="B29" i="84"/>
  <c r="B60" i="84"/>
  <c r="C90" i="83"/>
  <c r="B61" i="83"/>
  <c r="B89" i="83"/>
  <c r="M31" i="87"/>
  <c r="M32" i="87"/>
  <c r="M34" i="87"/>
  <c r="I37" i="48"/>
  <c r="F31" i="21"/>
  <c r="F31" i="85"/>
  <c r="A67" i="53"/>
  <c r="A135" i="53"/>
  <c r="A203" i="53"/>
  <c r="I10" i="22"/>
  <c r="I16" i="22"/>
  <c r="I21" i="22"/>
  <c r="I20" i="22"/>
  <c r="I8" i="22"/>
  <c r="I13" i="22"/>
  <c r="I15" i="22"/>
  <c r="I19" i="22"/>
  <c r="J4" i="22"/>
  <c r="I18" i="22"/>
  <c r="I14" i="22"/>
  <c r="I12" i="22"/>
  <c r="I9" i="22"/>
  <c r="I17" i="22"/>
  <c r="I22" i="22"/>
  <c r="I23" i="22"/>
  <c r="I11" i="22"/>
  <c r="H24" i="22"/>
  <c r="E107" i="83"/>
  <c r="E38" i="53"/>
  <c r="E91" i="53"/>
  <c r="E84" i="83"/>
  <c r="D23" i="84"/>
  <c r="D54" i="84"/>
  <c r="E51" i="83"/>
  <c r="D40" i="55"/>
  <c r="D97" i="55"/>
  <c r="D149" i="55"/>
  <c r="C16" i="53"/>
  <c r="C69" i="53"/>
  <c r="C99" i="81"/>
  <c r="B110" i="81"/>
  <c r="B111" i="81"/>
  <c r="F34" i="81"/>
  <c r="H34" i="81"/>
  <c r="C52" i="53"/>
  <c r="C105" i="53"/>
  <c r="D173" i="53"/>
  <c r="C121" i="83"/>
  <c r="D167" i="53"/>
  <c r="D235" i="53"/>
  <c r="E44" i="84"/>
  <c r="B74" i="83"/>
  <c r="B13" i="84"/>
  <c r="B46" i="83"/>
  <c r="G8" i="87"/>
  <c r="G10" i="87"/>
  <c r="G12" i="87"/>
  <c r="F10" i="87"/>
  <c r="F12" i="87"/>
  <c r="F16" i="87"/>
  <c r="F206" i="55"/>
  <c r="F180" i="55"/>
  <c r="F205" i="55"/>
  <c r="F179" i="55"/>
  <c r="C24" i="68"/>
  <c r="C149" i="29"/>
  <c r="C164" i="29"/>
  <c r="H201" i="55"/>
  <c r="G196" i="55"/>
  <c r="N22" i="87"/>
  <c r="F154" i="72"/>
  <c r="F196" i="55"/>
  <c r="F195" i="55"/>
  <c r="F197" i="55"/>
  <c r="O22" i="87"/>
  <c r="G154" i="72"/>
  <c r="J166" i="72"/>
  <c r="J163" i="72"/>
  <c r="D195" i="55"/>
  <c r="F198" i="55"/>
  <c r="I163" i="72"/>
  <c r="M22" i="87"/>
  <c r="E154" i="72"/>
  <c r="E196" i="55"/>
  <c r="E197" i="55"/>
  <c r="E198" i="55"/>
  <c r="E195" i="55"/>
  <c r="D196" i="55"/>
  <c r="L22" i="87"/>
  <c r="D154" i="72"/>
  <c r="D197" i="55"/>
  <c r="P13" i="87"/>
  <c r="G221" i="55"/>
  <c r="E28" i="85"/>
  <c r="H199" i="55"/>
  <c r="I172" i="55"/>
  <c r="H218" i="55"/>
  <c r="H216" i="55"/>
  <c r="H217" i="55"/>
  <c r="H188" i="55"/>
  <c r="H189" i="55"/>
  <c r="H187" i="55"/>
  <c r="D43" i="21"/>
  <c r="F12" i="29"/>
  <c r="E43" i="21"/>
  <c r="F61" i="29"/>
  <c r="F43" i="21"/>
  <c r="H12" i="29"/>
  <c r="D58" i="22"/>
  <c r="E58" i="22"/>
  <c r="F58" i="22"/>
  <c r="G58" i="22"/>
  <c r="H58" i="22"/>
  <c r="I58" i="22"/>
  <c r="I39" i="22"/>
  <c r="K38" i="22"/>
  <c r="F39" i="22"/>
  <c r="C39" i="22"/>
  <c r="C40" i="22"/>
  <c r="H39" i="22"/>
  <c r="E39" i="22"/>
  <c r="G39" i="22"/>
  <c r="D39" i="22"/>
  <c r="F7" i="62"/>
  <c r="C50" i="22"/>
  <c r="C18" i="68"/>
  <c r="C43" i="21"/>
  <c r="D88" i="22"/>
  <c r="C43" i="85"/>
  <c r="F173" i="85"/>
  <c r="E272" i="85"/>
  <c r="E222" i="85"/>
  <c r="F258" i="85"/>
  <c r="D12" i="29"/>
  <c r="C61" i="29"/>
  <c r="D97" i="29"/>
  <c r="F6" i="62"/>
  <c r="C44" i="22"/>
  <c r="C17" i="68"/>
  <c r="G63" i="22"/>
  <c r="I63" i="22"/>
  <c r="C59" i="22"/>
  <c r="D56" i="22"/>
  <c r="D59" i="22"/>
  <c r="E56" i="22"/>
  <c r="E59" i="22"/>
  <c r="F56" i="22"/>
  <c r="F59" i="22"/>
  <c r="G56" i="22"/>
  <c r="G59" i="22"/>
  <c r="H56" i="22"/>
  <c r="H59" i="22"/>
  <c r="I56" i="22"/>
  <c r="I59" i="22"/>
  <c r="K57" i="22"/>
  <c r="K58" i="22"/>
  <c r="E258" i="85"/>
  <c r="D222" i="85"/>
  <c r="D272" i="85"/>
  <c r="E173" i="85"/>
  <c r="F272" i="85"/>
  <c r="F222" i="85"/>
  <c r="G258" i="85"/>
  <c r="G173" i="85"/>
  <c r="F97" i="29"/>
  <c r="B222" i="85"/>
  <c r="C173" i="85"/>
  <c r="C258" i="85"/>
  <c r="B272" i="85"/>
  <c r="B18" i="69"/>
  <c r="D149" i="29"/>
  <c r="D24" i="68"/>
  <c r="D164" i="29"/>
  <c r="D179" i="29"/>
  <c r="E179" i="29"/>
  <c r="E149" i="29"/>
  <c r="E134" i="29"/>
  <c r="E24" i="68"/>
  <c r="C63" i="22"/>
  <c r="C64" i="22"/>
  <c r="E63" i="22"/>
  <c r="H63" i="22"/>
  <c r="K62" i="22"/>
  <c r="K63" i="22"/>
  <c r="K64" i="22"/>
  <c r="D63" i="22"/>
  <c r="E61" i="29"/>
  <c r="C18" i="69"/>
  <c r="D18" i="69"/>
  <c r="B44" i="84"/>
  <c r="C28" i="53"/>
  <c r="C81" i="53"/>
  <c r="C111" i="81"/>
  <c r="F227" i="53"/>
  <c r="F159" i="53"/>
  <c r="F11" i="21"/>
  <c r="I36" i="61"/>
  <c r="I55" i="48"/>
  <c r="F11" i="85"/>
  <c r="F196" i="85"/>
  <c r="D90" i="83"/>
  <c r="C29" i="84"/>
  <c r="C60" i="84"/>
  <c r="F160" i="53"/>
  <c r="F228" i="53"/>
  <c r="E118" i="83"/>
  <c r="E49" i="53"/>
  <c r="E102" i="53"/>
  <c r="B16" i="55"/>
  <c r="B73" i="55"/>
  <c r="B125" i="55"/>
  <c r="C47" i="81"/>
  <c r="F112" i="83"/>
  <c r="F43" i="53"/>
  <c r="F96" i="53"/>
  <c r="C23" i="53"/>
  <c r="C76" i="53"/>
  <c r="C106" i="81"/>
  <c r="E115" i="83"/>
  <c r="E46" i="53"/>
  <c r="E99" i="53"/>
  <c r="C29" i="53"/>
  <c r="C82" i="53"/>
  <c r="C112" i="81"/>
  <c r="D178" i="53"/>
  <c r="D243" i="53"/>
  <c r="F85" i="83"/>
  <c r="E24" i="84"/>
  <c r="E55" i="84"/>
  <c r="D133" i="53"/>
  <c r="D201" i="53"/>
  <c r="D104" i="83"/>
  <c r="D35" i="53"/>
  <c r="D88" i="53"/>
  <c r="D94" i="81"/>
  <c r="D11" i="53"/>
  <c r="D64" i="53"/>
  <c r="F10" i="21"/>
  <c r="F10" i="85"/>
  <c r="F195" i="85"/>
  <c r="I39" i="61"/>
  <c r="H47" i="42"/>
  <c r="D87" i="83"/>
  <c r="C26" i="84"/>
  <c r="C57" i="84"/>
  <c r="C75" i="81"/>
  <c r="B21" i="72"/>
  <c r="B45" i="72"/>
  <c r="B53" i="81"/>
  <c r="B78" i="81"/>
  <c r="F33" i="85"/>
  <c r="F33" i="21"/>
  <c r="D96" i="81"/>
  <c r="D13" i="53"/>
  <c r="D66" i="53"/>
  <c r="F110" i="83"/>
  <c r="F41" i="53"/>
  <c r="F94" i="53"/>
  <c r="B37" i="84"/>
  <c r="B65" i="84"/>
  <c r="C98" i="83"/>
  <c r="D92" i="81"/>
  <c r="D9" i="53"/>
  <c r="D62" i="53"/>
  <c r="F168" i="53"/>
  <c r="F236" i="53"/>
  <c r="G20" i="21"/>
  <c r="J52" i="61"/>
  <c r="G20" i="85"/>
  <c r="I45" i="42"/>
  <c r="J34" i="42"/>
  <c r="E111" i="83"/>
  <c r="E42" i="53"/>
  <c r="E95" i="53"/>
  <c r="E53" i="83"/>
  <c r="D42" i="55"/>
  <c r="D99" i="55"/>
  <c r="D151" i="55"/>
  <c r="F78" i="83"/>
  <c r="E17" i="84"/>
  <c r="E48" i="84"/>
  <c r="C96" i="83"/>
  <c r="B35" i="84"/>
  <c r="B63" i="84"/>
  <c r="B55" i="81"/>
  <c r="B80" i="81"/>
  <c r="D222" i="53"/>
  <c r="D154" i="53"/>
  <c r="B56" i="55"/>
  <c r="B113" i="55"/>
  <c r="B165" i="55"/>
  <c r="C67" i="83"/>
  <c r="E114" i="83"/>
  <c r="E45" i="53"/>
  <c r="E98" i="53"/>
  <c r="C71" i="81"/>
  <c r="B17" i="72"/>
  <c r="B41" i="72"/>
  <c r="G21" i="85"/>
  <c r="G21" i="21"/>
  <c r="J53" i="48"/>
  <c r="J49" i="61"/>
  <c r="D62" i="83"/>
  <c r="C51" i="55"/>
  <c r="C108" i="55"/>
  <c r="C160" i="55"/>
  <c r="D125" i="83"/>
  <c r="D56" i="53"/>
  <c r="D109" i="53"/>
  <c r="B30" i="84"/>
  <c r="B61" i="84"/>
  <c r="C91" i="83"/>
  <c r="D93" i="81"/>
  <c r="D10" i="53"/>
  <c r="D63" i="53"/>
  <c r="B57" i="81"/>
  <c r="B82" i="81"/>
  <c r="F233" i="53"/>
  <c r="F165" i="53"/>
  <c r="D121" i="83"/>
  <c r="D52" i="53"/>
  <c r="D105" i="53"/>
  <c r="E173" i="53"/>
  <c r="C27" i="53"/>
  <c r="C80" i="53"/>
  <c r="C110" i="81"/>
  <c r="F51" i="83"/>
  <c r="E40" i="55"/>
  <c r="E97" i="55"/>
  <c r="E149" i="55"/>
  <c r="F107" i="83"/>
  <c r="F38" i="53"/>
  <c r="F91" i="53"/>
  <c r="E81" i="83"/>
  <c r="D20" i="84"/>
  <c r="D51" i="84"/>
  <c r="F52" i="83"/>
  <c r="E41" i="55"/>
  <c r="E98" i="55"/>
  <c r="E150" i="55"/>
  <c r="F108" i="83"/>
  <c r="F39" i="53"/>
  <c r="F92" i="53"/>
  <c r="F32" i="85"/>
  <c r="F32" i="21"/>
  <c r="B36" i="84"/>
  <c r="B64" i="84"/>
  <c r="C97" i="83"/>
  <c r="D119" i="83"/>
  <c r="D50" i="53"/>
  <c r="D103" i="53"/>
  <c r="C47" i="83"/>
  <c r="B36" i="55"/>
  <c r="B93" i="55"/>
  <c r="B145" i="55"/>
  <c r="C68" i="81"/>
  <c r="B14" i="72"/>
  <c r="B38" i="72"/>
  <c r="B51" i="81"/>
  <c r="B76" i="81"/>
  <c r="B18" i="55"/>
  <c r="B75" i="55"/>
  <c r="B127" i="55"/>
  <c r="C49" i="81"/>
  <c r="D120" i="83"/>
  <c r="D51" i="53"/>
  <c r="D104" i="53"/>
  <c r="E172" i="53"/>
  <c r="B11" i="55"/>
  <c r="C42" i="81"/>
  <c r="H113" i="81"/>
  <c r="I30" i="53"/>
  <c r="I83" i="53"/>
  <c r="H30" i="53"/>
  <c r="H83" i="53"/>
  <c r="J269" i="53"/>
  <c r="J266" i="53"/>
  <c r="J267" i="53"/>
  <c r="J268" i="53"/>
  <c r="J274" i="53"/>
  <c r="J215" i="53"/>
  <c r="J244" i="53"/>
  <c r="J220" i="53"/>
  <c r="J206" i="53"/>
  <c r="J152" i="53"/>
  <c r="G32" i="21"/>
  <c r="G32" i="85"/>
  <c r="D156" i="53"/>
  <c r="D224" i="53"/>
  <c r="D132" i="53"/>
  <c r="D200" i="53"/>
  <c r="G10" i="42"/>
  <c r="I21" i="42"/>
  <c r="I23" i="42"/>
  <c r="H9" i="42"/>
  <c r="H10" i="42"/>
  <c r="J21" i="42"/>
  <c r="J23" i="42"/>
  <c r="B19" i="55"/>
  <c r="B76" i="55"/>
  <c r="B128" i="55"/>
  <c r="C50" i="81"/>
  <c r="C20" i="53"/>
  <c r="C73" i="53"/>
  <c r="C103" i="81"/>
  <c r="F79" i="83"/>
  <c r="E18" i="84"/>
  <c r="E49" i="84"/>
  <c r="D134" i="53"/>
  <c r="D202" i="53"/>
  <c r="F230" i="53"/>
  <c r="F162" i="53"/>
  <c r="B59" i="55"/>
  <c r="B116" i="55"/>
  <c r="B168" i="55"/>
  <c r="C70" i="83"/>
  <c r="B31" i="84"/>
  <c r="C92" i="83"/>
  <c r="D130" i="53"/>
  <c r="C18" i="53"/>
  <c r="C71" i="53"/>
  <c r="C19" i="53"/>
  <c r="C72" i="53"/>
  <c r="C21" i="53"/>
  <c r="C74" i="53"/>
  <c r="C22" i="53"/>
  <c r="C75" i="53"/>
  <c r="C24" i="53"/>
  <c r="C77" i="53"/>
  <c r="C25" i="53"/>
  <c r="C78" i="53"/>
  <c r="C116" i="53"/>
  <c r="D198" i="53"/>
  <c r="F116" i="83"/>
  <c r="F47" i="53"/>
  <c r="F100" i="53"/>
  <c r="B15" i="84"/>
  <c r="B46" i="84"/>
  <c r="C76" i="83"/>
  <c r="C69" i="81"/>
  <c r="B15" i="72"/>
  <c r="B39" i="72"/>
  <c r="F226" i="53"/>
  <c r="F158" i="53"/>
  <c r="B57" i="55"/>
  <c r="B114" i="55"/>
  <c r="B166" i="55"/>
  <c r="C68" i="83"/>
  <c r="B33" i="84"/>
  <c r="C94" i="83"/>
  <c r="C105" i="81"/>
  <c r="F128" i="29"/>
  <c r="F143" i="29"/>
  <c r="F173" i="29"/>
  <c r="F158" i="29"/>
  <c r="F35" i="29"/>
  <c r="K50" i="48"/>
  <c r="K52" i="48"/>
  <c r="K35" i="48"/>
  <c r="K29" i="48"/>
  <c r="K32" i="48"/>
  <c r="K27" i="48"/>
  <c r="K28" i="48"/>
  <c r="K30" i="48"/>
  <c r="K31" i="48"/>
  <c r="K33" i="48"/>
  <c r="K34" i="48"/>
  <c r="K36" i="48"/>
  <c r="K37" i="48"/>
  <c r="K42" i="48"/>
  <c r="K41" i="48"/>
  <c r="K47" i="48"/>
  <c r="G31" i="85"/>
  <c r="G31" i="21"/>
  <c r="D242" i="53"/>
  <c r="D177" i="53"/>
  <c r="C63" i="83"/>
  <c r="B52" i="55"/>
  <c r="B109" i="55"/>
  <c r="B161" i="55"/>
  <c r="E77" i="83"/>
  <c r="D16" i="84"/>
  <c r="D47" i="84"/>
  <c r="D199" i="53"/>
  <c r="D131" i="53"/>
  <c r="C107" i="81"/>
  <c r="F113" i="83"/>
  <c r="F44" i="53"/>
  <c r="F97" i="53"/>
  <c r="D99" i="81"/>
  <c r="D16" i="53"/>
  <c r="D69" i="53"/>
  <c r="E35" i="85"/>
  <c r="E35" i="21"/>
  <c r="B28" i="84"/>
  <c r="B59" i="84"/>
  <c r="C89" i="83"/>
  <c r="C73" i="81"/>
  <c r="B19" i="72"/>
  <c r="B43" i="72"/>
  <c r="B58" i="55"/>
  <c r="B115" i="55"/>
  <c r="B167" i="55"/>
  <c r="C69" i="83"/>
  <c r="D239" i="53"/>
  <c r="D171" i="53"/>
  <c r="F60" i="83"/>
  <c r="E49" i="55"/>
  <c r="E106" i="55"/>
  <c r="E158" i="55"/>
  <c r="B14" i="84"/>
  <c r="B45" i="84"/>
  <c r="C75" i="83"/>
  <c r="B12" i="55"/>
  <c r="B69" i="55"/>
  <c r="B121" i="55"/>
  <c r="C43" i="81"/>
  <c r="C101" i="81"/>
  <c r="J181" i="84"/>
  <c r="J180" i="84"/>
  <c r="J185" i="84"/>
  <c r="B32" i="84"/>
  <c r="C93" i="83"/>
  <c r="C74" i="81"/>
  <c r="B20" i="72"/>
  <c r="B44" i="72"/>
  <c r="D55" i="83"/>
  <c r="C44" i="55"/>
  <c r="C101" i="55"/>
  <c r="C153" i="55"/>
  <c r="C67" i="81"/>
  <c r="B13" i="72"/>
  <c r="H219" i="53"/>
  <c r="H151" i="53"/>
  <c r="D103" i="83"/>
  <c r="D34" i="53"/>
  <c r="D87" i="53"/>
  <c r="D122" i="83"/>
  <c r="D53" i="53"/>
  <c r="D106" i="53"/>
  <c r="E174" i="53"/>
  <c r="C104" i="81"/>
  <c r="F229" i="53"/>
  <c r="F161" i="53"/>
  <c r="D123" i="83"/>
  <c r="D54" i="53"/>
  <c r="D107" i="53"/>
  <c r="D83" i="83"/>
  <c r="C22" i="84"/>
  <c r="C53" i="84"/>
  <c r="C70" i="81"/>
  <c r="B16" i="72"/>
  <c r="B40" i="72"/>
  <c r="F225" i="53"/>
  <c r="F157" i="53"/>
  <c r="H30" i="21"/>
  <c r="H30" i="85"/>
  <c r="B37" i="55"/>
  <c r="B94" i="55"/>
  <c r="B146" i="55"/>
  <c r="C48" i="83"/>
  <c r="E54" i="83"/>
  <c r="D43" i="55"/>
  <c r="D100" i="55"/>
  <c r="D152" i="55"/>
  <c r="B13" i="55"/>
  <c r="B70" i="55"/>
  <c r="B122" i="55"/>
  <c r="C44" i="81"/>
  <c r="F106" i="83"/>
  <c r="F37" i="53"/>
  <c r="F90" i="53"/>
  <c r="D59" i="83"/>
  <c r="C48" i="55"/>
  <c r="C105" i="55"/>
  <c r="C157" i="55"/>
  <c r="C108" i="81"/>
  <c r="E49" i="83"/>
  <c r="D38" i="55"/>
  <c r="D95" i="55"/>
  <c r="D147" i="55"/>
  <c r="B30" i="55"/>
  <c r="B87" i="55"/>
  <c r="B139" i="55"/>
  <c r="C61" i="81"/>
  <c r="D117" i="83"/>
  <c r="D48" i="53"/>
  <c r="D101" i="53"/>
  <c r="D98" i="81"/>
  <c r="D15" i="53"/>
  <c r="D68" i="53"/>
  <c r="D97" i="81"/>
  <c r="D14" i="53"/>
  <c r="D67" i="53"/>
  <c r="D124" i="83"/>
  <c r="D55" i="53"/>
  <c r="D108" i="53"/>
  <c r="D86" i="83"/>
  <c r="C25" i="84"/>
  <c r="C56" i="84"/>
  <c r="C102" i="81"/>
  <c r="E36" i="85"/>
  <c r="B35" i="55"/>
  <c r="C46" i="83"/>
  <c r="B60" i="81"/>
  <c r="B85" i="81"/>
  <c r="D137" i="53"/>
  <c r="D205" i="53"/>
  <c r="F84" i="83"/>
  <c r="E23" i="84"/>
  <c r="E54" i="84"/>
  <c r="J11" i="22"/>
  <c r="J19" i="22"/>
  <c r="J16" i="22"/>
  <c r="K4" i="22"/>
  <c r="J10" i="22"/>
  <c r="J23" i="22"/>
  <c r="J22" i="22"/>
  <c r="J14" i="22"/>
  <c r="J20" i="22"/>
  <c r="J12" i="22"/>
  <c r="J8" i="22"/>
  <c r="J21" i="22"/>
  <c r="J15" i="22"/>
  <c r="J9" i="22"/>
  <c r="J17" i="22"/>
  <c r="J18" i="22"/>
  <c r="J13" i="22"/>
  <c r="I24" i="22"/>
  <c r="B50" i="55"/>
  <c r="B107" i="55"/>
  <c r="B159" i="55"/>
  <c r="C61" i="83"/>
  <c r="E82" i="83"/>
  <c r="D21" i="84"/>
  <c r="D52" i="84"/>
  <c r="B17" i="55"/>
  <c r="B74" i="55"/>
  <c r="B126" i="55"/>
  <c r="C48" i="81"/>
  <c r="F80" i="83"/>
  <c r="E19" i="84"/>
  <c r="E50" i="84"/>
  <c r="E238" i="53"/>
  <c r="E170" i="53"/>
  <c r="C72" i="81"/>
  <c r="B18" i="72"/>
  <c r="B42" i="72"/>
  <c r="F232" i="53"/>
  <c r="F164" i="53"/>
  <c r="F34" i="29"/>
  <c r="F127" i="29"/>
  <c r="F157" i="29"/>
  <c r="F142" i="29"/>
  <c r="F172" i="29"/>
  <c r="D58" i="83"/>
  <c r="C47" i="55"/>
  <c r="C104" i="55"/>
  <c r="C156" i="55"/>
  <c r="B56" i="81"/>
  <c r="B81" i="81"/>
  <c r="I185" i="84"/>
  <c r="E235" i="53"/>
  <c r="E167" i="53"/>
  <c r="B62" i="81"/>
  <c r="B87" i="81"/>
  <c r="C87" i="81"/>
  <c r="D87" i="81"/>
  <c r="E87" i="81"/>
  <c r="F87" i="81"/>
  <c r="G87" i="81"/>
  <c r="H87" i="81"/>
  <c r="D126" i="83"/>
  <c r="D57" i="53"/>
  <c r="D110" i="53"/>
  <c r="D95" i="81"/>
  <c r="D12" i="53"/>
  <c r="D65" i="53"/>
  <c r="H29" i="21"/>
  <c r="H29" i="85"/>
  <c r="D155" i="53"/>
  <c r="D223" i="53"/>
  <c r="B79" i="81"/>
  <c r="B54" i="81"/>
  <c r="F57" i="83"/>
  <c r="E46" i="55"/>
  <c r="E103" i="55"/>
  <c r="E155" i="55"/>
  <c r="F109" i="83"/>
  <c r="F40" i="53"/>
  <c r="F93" i="53"/>
  <c r="D240" i="53"/>
  <c r="D175" i="53"/>
  <c r="B84" i="81"/>
  <c r="B59" i="81"/>
  <c r="F56" i="83"/>
  <c r="E45" i="55"/>
  <c r="E102" i="55"/>
  <c r="E154" i="55"/>
  <c r="B14" i="55"/>
  <c r="B71" i="55"/>
  <c r="B123" i="55"/>
  <c r="C45" i="81"/>
  <c r="F50" i="83"/>
  <c r="E39" i="55"/>
  <c r="E96" i="55"/>
  <c r="E148" i="55"/>
  <c r="F105" i="83"/>
  <c r="F36" i="53"/>
  <c r="F89" i="53"/>
  <c r="E231" i="53"/>
  <c r="E163" i="53"/>
  <c r="B83" i="81"/>
  <c r="B58" i="81"/>
  <c r="D102" i="83"/>
  <c r="D33" i="53"/>
  <c r="D86" i="53"/>
  <c r="B34" i="84"/>
  <c r="B62" i="84"/>
  <c r="C95" i="83"/>
  <c r="E234" i="53"/>
  <c r="E166" i="53"/>
  <c r="C46" i="81"/>
  <c r="B15" i="55"/>
  <c r="B72" i="55"/>
  <c r="B124" i="55"/>
  <c r="J37" i="48"/>
  <c r="D237" i="53"/>
  <c r="D169" i="53"/>
  <c r="D136" i="53"/>
  <c r="D204" i="53"/>
  <c r="D203" i="53"/>
  <c r="D135" i="53"/>
  <c r="D176" i="53"/>
  <c r="D241" i="53"/>
  <c r="B52" i="81"/>
  <c r="B77" i="81"/>
  <c r="F88" i="83"/>
  <c r="E27" i="84"/>
  <c r="E58" i="84"/>
  <c r="G9" i="87"/>
  <c r="H200" i="55"/>
  <c r="H8" i="87"/>
  <c r="I8" i="87"/>
  <c r="F19" i="87"/>
  <c r="F15" i="87"/>
  <c r="G179" i="55"/>
  <c r="G15" i="87"/>
  <c r="G16" i="87"/>
  <c r="G206" i="55"/>
  <c r="G180" i="55"/>
  <c r="E28" i="21"/>
  <c r="G12" i="29"/>
  <c r="G61" i="29"/>
  <c r="I164" i="72"/>
  <c r="I166" i="72"/>
  <c r="J164" i="72"/>
  <c r="K17" i="61"/>
  <c r="J171" i="72"/>
  <c r="P22" i="87"/>
  <c r="I182" i="55"/>
  <c r="H154" i="72"/>
  <c r="G163" i="72"/>
  <c r="G166" i="72"/>
  <c r="G164" i="72"/>
  <c r="G182" i="55"/>
  <c r="G204" i="55"/>
  <c r="D143" i="72"/>
  <c r="D150" i="72"/>
  <c r="D184" i="55"/>
  <c r="H196" i="55"/>
  <c r="F143" i="72"/>
  <c r="F150" i="72"/>
  <c r="F184" i="55"/>
  <c r="G208" i="55"/>
  <c r="F182" i="55"/>
  <c r="F166" i="72"/>
  <c r="F204" i="55"/>
  <c r="F208" i="55"/>
  <c r="F164" i="72"/>
  <c r="F163" i="72"/>
  <c r="E184" i="55"/>
  <c r="E143" i="72"/>
  <c r="E150" i="72"/>
  <c r="D182" i="55"/>
  <c r="D164" i="72"/>
  <c r="D204" i="55"/>
  <c r="D163" i="72"/>
  <c r="D208" i="55"/>
  <c r="G207" i="55"/>
  <c r="G197" i="55"/>
  <c r="J143" i="72"/>
  <c r="J150" i="72"/>
  <c r="G19" i="87"/>
  <c r="P31" i="87"/>
  <c r="P32" i="87"/>
  <c r="P34" i="87"/>
  <c r="G143" i="72"/>
  <c r="G150" i="72"/>
  <c r="G184" i="55"/>
  <c r="E166" i="72"/>
  <c r="H197" i="55"/>
  <c r="E204" i="55"/>
  <c r="E164" i="72"/>
  <c r="E163" i="72"/>
  <c r="E182" i="55"/>
  <c r="E208" i="55"/>
  <c r="D166" i="72"/>
  <c r="H221" i="55"/>
  <c r="I218" i="55"/>
  <c r="I196" i="55"/>
  <c r="I216" i="55"/>
  <c r="I189" i="55"/>
  <c r="I187" i="55"/>
  <c r="I204" i="55"/>
  <c r="I199" i="55"/>
  <c r="I188" i="55"/>
  <c r="J172" i="55"/>
  <c r="I217" i="55"/>
  <c r="I201" i="55"/>
  <c r="H97" i="29"/>
  <c r="E18" i="69"/>
  <c r="F18" i="69"/>
  <c r="G18" i="69"/>
  <c r="H18" i="69"/>
  <c r="G97" i="29"/>
  <c r="G63" i="86"/>
  <c r="C65" i="22"/>
  <c r="D62" i="22"/>
  <c r="D65" i="22"/>
  <c r="E62" i="22"/>
  <c r="E65" i="22"/>
  <c r="F62" i="22"/>
  <c r="F65" i="22"/>
  <c r="G62" i="22"/>
  <c r="G65" i="22"/>
  <c r="H62" i="22"/>
  <c r="H65" i="22"/>
  <c r="I62" i="22"/>
  <c r="I65" i="22"/>
  <c r="F12" i="62"/>
  <c r="E19" i="62"/>
  <c r="B34" i="69"/>
  <c r="C34" i="69"/>
  <c r="D34" i="69"/>
  <c r="E34" i="69"/>
  <c r="F34" i="69"/>
  <c r="G34" i="69"/>
  <c r="H34" i="69"/>
  <c r="G77" i="86"/>
  <c r="D40" i="22"/>
  <c r="E40" i="22"/>
  <c r="F40" i="22"/>
  <c r="G40" i="22"/>
  <c r="H40" i="22"/>
  <c r="I40" i="22"/>
  <c r="C222" i="85"/>
  <c r="C272" i="85"/>
  <c r="D258" i="85"/>
  <c r="D173" i="85"/>
  <c r="E51" i="22"/>
  <c r="C51" i="22"/>
  <c r="C52" i="22"/>
  <c r="K50" i="22"/>
  <c r="D51" i="22"/>
  <c r="H51" i="22"/>
  <c r="G51" i="22"/>
  <c r="F51" i="22"/>
  <c r="I51" i="22"/>
  <c r="E97" i="29"/>
  <c r="E12" i="29"/>
  <c r="D61" i="29"/>
  <c r="K39" i="22"/>
  <c r="K40" i="22"/>
  <c r="K59" i="22"/>
  <c r="L56" i="22"/>
  <c r="L57" i="22"/>
  <c r="L58" i="22"/>
  <c r="D64" i="22"/>
  <c r="E64" i="22"/>
  <c r="F64" i="22"/>
  <c r="G64" i="22"/>
  <c r="H64" i="22"/>
  <c r="I64" i="22"/>
  <c r="C41" i="22"/>
  <c r="D38" i="22"/>
  <c r="D41" i="22"/>
  <c r="E38" i="22"/>
  <c r="E41" i="22"/>
  <c r="F38" i="22"/>
  <c r="F41" i="22"/>
  <c r="G38" i="22"/>
  <c r="G41" i="22"/>
  <c r="H38" i="22"/>
  <c r="H41" i="22"/>
  <c r="I38" i="22"/>
  <c r="I41" i="22"/>
  <c r="H45" i="22"/>
  <c r="C66" i="22"/>
  <c r="B13" i="69"/>
  <c r="G45" i="22"/>
  <c r="C45" i="22"/>
  <c r="C47" i="22"/>
  <c r="D45" i="22"/>
  <c r="K44" i="22"/>
  <c r="I45" i="22"/>
  <c r="E45" i="22"/>
  <c r="F45" i="22"/>
  <c r="E36" i="21"/>
  <c r="B126" i="84"/>
  <c r="B143" i="84"/>
  <c r="D156" i="84"/>
  <c r="D163" i="84"/>
  <c r="B125" i="84"/>
  <c r="B142" i="84"/>
  <c r="D155" i="84"/>
  <c r="B124" i="84"/>
  <c r="B141" i="84"/>
  <c r="D167" i="84"/>
  <c r="D164" i="84"/>
  <c r="C84" i="81"/>
  <c r="B30" i="72"/>
  <c r="B54" i="72"/>
  <c r="D102" i="81"/>
  <c r="D19" i="53"/>
  <c r="D72" i="53"/>
  <c r="D61" i="81"/>
  <c r="C30" i="55"/>
  <c r="C87" i="55"/>
  <c r="C139" i="55"/>
  <c r="G226" i="53"/>
  <c r="G158" i="53"/>
  <c r="E175" i="53"/>
  <c r="E240" i="53"/>
  <c r="H33" i="21"/>
  <c r="H33" i="85"/>
  <c r="D75" i="83"/>
  <c r="C14" i="84"/>
  <c r="H31" i="21"/>
  <c r="H31" i="85"/>
  <c r="D94" i="83"/>
  <c r="C33" i="84"/>
  <c r="D76" i="83"/>
  <c r="C15" i="84"/>
  <c r="C46" i="84"/>
  <c r="G79" i="83"/>
  <c r="F18" i="84"/>
  <c r="F49" i="84"/>
  <c r="H32" i="21"/>
  <c r="H32" i="85"/>
  <c r="C82" i="81"/>
  <c r="B28" i="72"/>
  <c r="B52" i="72"/>
  <c r="D91" i="83"/>
  <c r="C30" i="84"/>
  <c r="C61" i="84"/>
  <c r="F234" i="53"/>
  <c r="F166" i="53"/>
  <c r="E92" i="81"/>
  <c r="E9" i="53"/>
  <c r="E62" i="53"/>
  <c r="G110" i="83"/>
  <c r="G41" i="53"/>
  <c r="G94" i="53"/>
  <c r="D75" i="81"/>
  <c r="C21" i="72"/>
  <c r="C45" i="72"/>
  <c r="E94" i="81"/>
  <c r="E11" i="53"/>
  <c r="E64" i="53"/>
  <c r="F115" i="83"/>
  <c r="F46" i="53"/>
  <c r="F99" i="53"/>
  <c r="G43" i="53"/>
  <c r="G96" i="53"/>
  <c r="G112" i="83"/>
  <c r="F118" i="83"/>
  <c r="F49" i="53"/>
  <c r="F102" i="53"/>
  <c r="D111" i="81"/>
  <c r="D28" i="53"/>
  <c r="D81" i="53"/>
  <c r="C83" i="81"/>
  <c r="B29" i="72"/>
  <c r="B53" i="72"/>
  <c r="G105" i="83"/>
  <c r="G36" i="53"/>
  <c r="G89" i="53"/>
  <c r="G109" i="83"/>
  <c r="G40" i="53"/>
  <c r="G93" i="53"/>
  <c r="B29" i="55"/>
  <c r="B86" i="55"/>
  <c r="B138" i="55"/>
  <c r="C60" i="81"/>
  <c r="E176" i="53"/>
  <c r="E241" i="53"/>
  <c r="D108" i="81"/>
  <c r="D25" i="53"/>
  <c r="D78" i="53"/>
  <c r="B70" i="72"/>
  <c r="B71" i="72"/>
  <c r="D104" i="81"/>
  <c r="D21" i="53"/>
  <c r="D74" i="53"/>
  <c r="H21" i="21"/>
  <c r="K49" i="61"/>
  <c r="K53" i="48"/>
  <c r="H21" i="85"/>
  <c r="D248" i="53"/>
  <c r="D184" i="53"/>
  <c r="D97" i="83"/>
  <c r="C36" i="84"/>
  <c r="C64" i="84"/>
  <c r="H20" i="21"/>
  <c r="K52" i="61"/>
  <c r="H20" i="85"/>
  <c r="J45" i="42"/>
  <c r="F149" i="29"/>
  <c r="C52" i="81"/>
  <c r="B21" i="55"/>
  <c r="B78" i="55"/>
  <c r="B130" i="55"/>
  <c r="E222" i="53"/>
  <c r="E154" i="53"/>
  <c r="E201" i="53"/>
  <c r="E133" i="53"/>
  <c r="G33" i="21"/>
  <c r="G33" i="85"/>
  <c r="E58" i="83"/>
  <c r="D47" i="55"/>
  <c r="D104" i="55"/>
  <c r="D156" i="55"/>
  <c r="B78" i="72"/>
  <c r="B79" i="72"/>
  <c r="F35" i="85"/>
  <c r="F35" i="21"/>
  <c r="D46" i="83"/>
  <c r="C35" i="55"/>
  <c r="D140" i="53"/>
  <c r="D208" i="53"/>
  <c r="E124" i="83"/>
  <c r="E55" i="53"/>
  <c r="E108" i="53"/>
  <c r="E98" i="81"/>
  <c r="E15" i="53"/>
  <c r="E68" i="53"/>
  <c r="D146" i="53"/>
  <c r="D214" i="53"/>
  <c r="G106" i="83"/>
  <c r="G37" i="53"/>
  <c r="G90" i="53"/>
  <c r="F54" i="83"/>
  <c r="E43" i="55"/>
  <c r="E100" i="55"/>
  <c r="E152" i="55"/>
  <c r="D70" i="81"/>
  <c r="C16" i="72"/>
  <c r="C40" i="72"/>
  <c r="E123" i="83"/>
  <c r="E54" i="53"/>
  <c r="E107" i="53"/>
  <c r="D142" i="53"/>
  <c r="D210" i="53"/>
  <c r="E103" i="83"/>
  <c r="E34" i="53"/>
  <c r="E87" i="53"/>
  <c r="D67" i="81"/>
  <c r="C13" i="72"/>
  <c r="D74" i="81"/>
  <c r="C20" i="72"/>
  <c r="C44" i="72"/>
  <c r="D139" i="53"/>
  <c r="D207" i="53"/>
  <c r="D73" i="81"/>
  <c r="C19" i="72"/>
  <c r="C43" i="72"/>
  <c r="G113" i="83"/>
  <c r="G44" i="53"/>
  <c r="G97" i="53"/>
  <c r="F77" i="83"/>
  <c r="E16" i="84"/>
  <c r="E47" i="84"/>
  <c r="C118" i="53"/>
  <c r="C114" i="53"/>
  <c r="D70" i="83"/>
  <c r="C59" i="55"/>
  <c r="C116" i="55"/>
  <c r="C168" i="55"/>
  <c r="D103" i="81"/>
  <c r="D20" i="53"/>
  <c r="D73" i="53"/>
  <c r="H10" i="21"/>
  <c r="H10" i="85"/>
  <c r="H195" i="85"/>
  <c r="K39" i="61"/>
  <c r="J47" i="42"/>
  <c r="J151" i="53"/>
  <c r="J219" i="53"/>
  <c r="E120" i="83"/>
  <c r="E51" i="53"/>
  <c r="E104" i="53"/>
  <c r="F172" i="53"/>
  <c r="B20" i="55"/>
  <c r="B77" i="55"/>
  <c r="B129" i="55"/>
  <c r="C51" i="81"/>
  <c r="D47" i="83"/>
  <c r="C36" i="55"/>
  <c r="C93" i="55"/>
  <c r="C145" i="55"/>
  <c r="G108" i="83"/>
  <c r="G39" i="53"/>
  <c r="G92" i="53"/>
  <c r="F81" i="83"/>
  <c r="E20" i="84"/>
  <c r="E51" i="84"/>
  <c r="G51" i="83"/>
  <c r="F40" i="55"/>
  <c r="F97" i="55"/>
  <c r="F149" i="55"/>
  <c r="E121" i="83"/>
  <c r="E52" i="53"/>
  <c r="E105" i="53"/>
  <c r="F173" i="53"/>
  <c r="B26" i="55"/>
  <c r="B83" i="55"/>
  <c r="B135" i="55"/>
  <c r="C57" i="81"/>
  <c r="E62" i="83"/>
  <c r="D51" i="55"/>
  <c r="D108" i="55"/>
  <c r="D160" i="55"/>
  <c r="F114" i="83"/>
  <c r="F45" i="53"/>
  <c r="F98" i="53"/>
  <c r="D96" i="83"/>
  <c r="C35" i="84"/>
  <c r="C63" i="84"/>
  <c r="F53" i="83"/>
  <c r="E42" i="55"/>
  <c r="E99" i="55"/>
  <c r="E151" i="55"/>
  <c r="D98" i="83"/>
  <c r="C37" i="84"/>
  <c r="C65" i="84"/>
  <c r="E134" i="53"/>
  <c r="E202" i="53"/>
  <c r="C78" i="81"/>
  <c r="B24" i="72"/>
  <c r="B48" i="72"/>
  <c r="E156" i="53"/>
  <c r="E224" i="53"/>
  <c r="D112" i="81"/>
  <c r="D29" i="53"/>
  <c r="D82" i="53"/>
  <c r="D106" i="81"/>
  <c r="D23" i="53"/>
  <c r="D76" i="53"/>
  <c r="D47" i="81"/>
  <c r="C16" i="55"/>
  <c r="C73" i="55"/>
  <c r="C125" i="55"/>
  <c r="E90" i="83"/>
  <c r="D29" i="84"/>
  <c r="D60" i="84"/>
  <c r="G35" i="29"/>
  <c r="G158" i="29"/>
  <c r="G173" i="29"/>
  <c r="G143" i="29"/>
  <c r="G128" i="29"/>
  <c r="D149" i="53"/>
  <c r="D217" i="53"/>
  <c r="C77" i="81"/>
  <c r="B23" i="72"/>
  <c r="B47" i="72"/>
  <c r="D46" i="81"/>
  <c r="C15" i="55"/>
  <c r="C72" i="55"/>
  <c r="C124" i="55"/>
  <c r="C79" i="81"/>
  <c r="B25" i="72"/>
  <c r="B49" i="72"/>
  <c r="E126" i="83"/>
  <c r="E57" i="53"/>
  <c r="E110" i="53"/>
  <c r="J24" i="22"/>
  <c r="G84" i="83"/>
  <c r="F23" i="84"/>
  <c r="F54" i="84"/>
  <c r="E204" i="53"/>
  <c r="E136" i="53"/>
  <c r="E223" i="53"/>
  <c r="E155" i="53"/>
  <c r="B37" i="72"/>
  <c r="D101" i="81"/>
  <c r="D18" i="53"/>
  <c r="D71" i="53"/>
  <c r="G233" i="53"/>
  <c r="G165" i="53"/>
  <c r="K55" i="48"/>
  <c r="H11" i="85"/>
  <c r="H196" i="85"/>
  <c r="H11" i="21"/>
  <c r="K36" i="61"/>
  <c r="I219" i="53"/>
  <c r="I151" i="53"/>
  <c r="C76" i="81"/>
  <c r="B22" i="72"/>
  <c r="B46" i="72"/>
  <c r="G228" i="53"/>
  <c r="G160" i="53"/>
  <c r="F179" i="29"/>
  <c r="H10" i="87"/>
  <c r="H12" i="87"/>
  <c r="I208" i="55"/>
  <c r="G202" i="55"/>
  <c r="O31" i="87"/>
  <c r="O32" i="87"/>
  <c r="O34" i="87"/>
  <c r="J36" i="61"/>
  <c r="G11" i="21"/>
  <c r="G11" i="85"/>
  <c r="G196" i="85"/>
  <c r="J55" i="48"/>
  <c r="E33" i="53"/>
  <c r="E86" i="53"/>
  <c r="E102" i="83"/>
  <c r="G50" i="83"/>
  <c r="F39" i="55"/>
  <c r="F96" i="55"/>
  <c r="F148" i="55"/>
  <c r="G56" i="83"/>
  <c r="F45" i="55"/>
  <c r="F102" i="55"/>
  <c r="F154" i="55"/>
  <c r="G57" i="83"/>
  <c r="F46" i="55"/>
  <c r="F103" i="55"/>
  <c r="F155" i="55"/>
  <c r="E95" i="81"/>
  <c r="E12" i="53"/>
  <c r="E65" i="53"/>
  <c r="C62" i="81"/>
  <c r="B31" i="55"/>
  <c r="B88" i="55"/>
  <c r="B140" i="55"/>
  <c r="C81" i="81"/>
  <c r="B27" i="72"/>
  <c r="B51" i="72"/>
  <c r="D72" i="81"/>
  <c r="C18" i="72"/>
  <c r="C42" i="72"/>
  <c r="G80" i="83"/>
  <c r="F19" i="84"/>
  <c r="F50" i="84"/>
  <c r="F82" i="83"/>
  <c r="E21" i="84"/>
  <c r="E52" i="84"/>
  <c r="B92" i="55"/>
  <c r="B144" i="55"/>
  <c r="B61" i="55"/>
  <c r="E135" i="53"/>
  <c r="E203" i="53"/>
  <c r="E237" i="53"/>
  <c r="E169" i="53"/>
  <c r="D44" i="81"/>
  <c r="C13" i="55"/>
  <c r="C70" i="55"/>
  <c r="C122" i="55"/>
  <c r="D48" i="83"/>
  <c r="C37" i="55"/>
  <c r="C94" i="55"/>
  <c r="C146" i="55"/>
  <c r="D93" i="83"/>
  <c r="C32" i="84"/>
  <c r="D43" i="81"/>
  <c r="C12" i="55"/>
  <c r="C69" i="55"/>
  <c r="C121" i="55"/>
  <c r="D69" i="83"/>
  <c r="C58" i="55"/>
  <c r="C115" i="55"/>
  <c r="C167" i="55"/>
  <c r="D89" i="83"/>
  <c r="C28" i="84"/>
  <c r="C59" i="84"/>
  <c r="E205" i="53"/>
  <c r="E137" i="53"/>
  <c r="D107" i="81"/>
  <c r="D24" i="53"/>
  <c r="D77" i="53"/>
  <c r="D105" i="81"/>
  <c r="D22" i="53"/>
  <c r="D75" i="53"/>
  <c r="D68" i="83"/>
  <c r="C57" i="55"/>
  <c r="C114" i="55"/>
  <c r="C166" i="55"/>
  <c r="G236" i="53"/>
  <c r="G168" i="53"/>
  <c r="C115" i="53"/>
  <c r="D209" i="53"/>
  <c r="D141" i="53"/>
  <c r="G10" i="21"/>
  <c r="J39" i="61"/>
  <c r="G10" i="85"/>
  <c r="G195" i="85"/>
  <c r="I47" i="42"/>
  <c r="D42" i="81"/>
  <c r="C11" i="55"/>
  <c r="D49" i="81"/>
  <c r="C18" i="55"/>
  <c r="C75" i="55"/>
  <c r="C127" i="55"/>
  <c r="B64" i="72"/>
  <c r="B63" i="72"/>
  <c r="E239" i="53"/>
  <c r="E171" i="53"/>
  <c r="G227" i="53"/>
  <c r="G159" i="53"/>
  <c r="D110" i="81"/>
  <c r="D27" i="53"/>
  <c r="D80" i="53"/>
  <c r="E131" i="53"/>
  <c r="E199" i="53"/>
  <c r="E242" i="53"/>
  <c r="E177" i="53"/>
  <c r="D67" i="83"/>
  <c r="C56" i="55"/>
  <c r="C113" i="55"/>
  <c r="C165" i="55"/>
  <c r="C80" i="81"/>
  <c r="B26" i="72"/>
  <c r="B50" i="72"/>
  <c r="F163" i="53"/>
  <c r="F231" i="53"/>
  <c r="E96" i="81"/>
  <c r="E13" i="53"/>
  <c r="E66" i="53"/>
  <c r="B22" i="55"/>
  <c r="B79" i="55"/>
  <c r="B131" i="55"/>
  <c r="C53" i="81"/>
  <c r="E87" i="83"/>
  <c r="D26" i="84"/>
  <c r="D57" i="84"/>
  <c r="G157" i="29"/>
  <c r="G142" i="29"/>
  <c r="G127" i="29"/>
  <c r="G172" i="29"/>
  <c r="G34" i="29"/>
  <c r="E104" i="83"/>
  <c r="E35" i="53"/>
  <c r="E88" i="53"/>
  <c r="G85" i="83"/>
  <c r="F24" i="84"/>
  <c r="F55" i="84"/>
  <c r="D218" i="53"/>
  <c r="D150" i="53"/>
  <c r="D144" i="53"/>
  <c r="D212" i="53"/>
  <c r="G88" i="83"/>
  <c r="F27" i="84"/>
  <c r="F58" i="84"/>
  <c r="D95" i="83"/>
  <c r="C34" i="84"/>
  <c r="C62" i="84"/>
  <c r="B27" i="55"/>
  <c r="B84" i="55"/>
  <c r="B136" i="55"/>
  <c r="C58" i="81"/>
  <c r="G225" i="53"/>
  <c r="G157" i="53"/>
  <c r="D45" i="81"/>
  <c r="C14" i="55"/>
  <c r="C71" i="55"/>
  <c r="C123" i="55"/>
  <c r="B28" i="55"/>
  <c r="B85" i="55"/>
  <c r="B137" i="55"/>
  <c r="C59" i="81"/>
  <c r="G229" i="53"/>
  <c r="G161" i="53"/>
  <c r="B23" i="55"/>
  <c r="B80" i="55"/>
  <c r="B132" i="55"/>
  <c r="C54" i="81"/>
  <c r="E178" i="53"/>
  <c r="E243" i="53"/>
  <c r="B25" i="55"/>
  <c r="B82" i="55"/>
  <c r="B134" i="55"/>
  <c r="C56" i="81"/>
  <c r="D48" i="81"/>
  <c r="C17" i="55"/>
  <c r="C74" i="55"/>
  <c r="C126" i="55"/>
  <c r="D61" i="83"/>
  <c r="C50" i="55"/>
  <c r="C107" i="55"/>
  <c r="C159" i="55"/>
  <c r="K21" i="22"/>
  <c r="K13" i="22"/>
  <c r="K10" i="22"/>
  <c r="K15" i="22"/>
  <c r="K20" i="22"/>
  <c r="K12" i="22"/>
  <c r="K23" i="22"/>
  <c r="K16" i="22"/>
  <c r="K14" i="22"/>
  <c r="K17" i="22"/>
  <c r="K11" i="22"/>
  <c r="K22" i="22"/>
  <c r="K18" i="22"/>
  <c r="K8" i="22"/>
  <c r="K9" i="22"/>
  <c r="K19" i="22"/>
  <c r="C85" i="81"/>
  <c r="B31" i="72"/>
  <c r="B55" i="72"/>
  <c r="E86" i="83"/>
  <c r="D25" i="84"/>
  <c r="D56" i="84"/>
  <c r="E97" i="81"/>
  <c r="E14" i="53"/>
  <c r="E67" i="53"/>
  <c r="E117" i="83"/>
  <c r="E48" i="53"/>
  <c r="E101" i="53"/>
  <c r="F49" i="83"/>
  <c r="E38" i="55"/>
  <c r="E95" i="55"/>
  <c r="E147" i="55"/>
  <c r="E59" i="83"/>
  <c r="D48" i="55"/>
  <c r="D105" i="55"/>
  <c r="D157" i="55"/>
  <c r="E83" i="83"/>
  <c r="D22" i="84"/>
  <c r="D53" i="84"/>
  <c r="E122" i="83"/>
  <c r="E53" i="53"/>
  <c r="E106" i="53"/>
  <c r="F174" i="53"/>
  <c r="E55" i="83"/>
  <c r="D44" i="55"/>
  <c r="D101" i="55"/>
  <c r="D153" i="55"/>
  <c r="G60" i="83"/>
  <c r="F49" i="55"/>
  <c r="F106" i="55"/>
  <c r="F158" i="55"/>
  <c r="E99" i="81"/>
  <c r="E16" i="53"/>
  <c r="E69" i="53"/>
  <c r="D145" i="53"/>
  <c r="D213" i="53"/>
  <c r="D63" i="83"/>
  <c r="C52" i="55"/>
  <c r="C109" i="55"/>
  <c r="C161" i="55"/>
  <c r="D211" i="53"/>
  <c r="D143" i="53"/>
  <c r="D69" i="81"/>
  <c r="C15" i="72"/>
  <c r="C39" i="72"/>
  <c r="G47" i="53"/>
  <c r="G100" i="53"/>
  <c r="G116" i="83"/>
  <c r="C119" i="53"/>
  <c r="D92" i="83"/>
  <c r="C31" i="84"/>
  <c r="D50" i="81"/>
  <c r="C19" i="55"/>
  <c r="C76" i="55"/>
  <c r="C128" i="55"/>
  <c r="B68" i="55"/>
  <c r="B120" i="55"/>
  <c r="D68" i="81"/>
  <c r="C14" i="72"/>
  <c r="C38" i="72"/>
  <c r="E119" i="83"/>
  <c r="E50" i="53"/>
  <c r="E103" i="53"/>
  <c r="G52" i="83"/>
  <c r="F41" i="55"/>
  <c r="F98" i="55"/>
  <c r="F150" i="55"/>
  <c r="G38" i="53"/>
  <c r="G91" i="53"/>
  <c r="G107" i="83"/>
  <c r="D148" i="53"/>
  <c r="D216" i="53"/>
  <c r="E93" i="81"/>
  <c r="E10" i="53"/>
  <c r="E63" i="53"/>
  <c r="E125" i="83"/>
  <c r="E56" i="53"/>
  <c r="E109" i="53"/>
  <c r="D71" i="81"/>
  <c r="C17" i="72"/>
  <c r="C41" i="72"/>
  <c r="B24" i="55"/>
  <c r="B81" i="55"/>
  <c r="B133" i="55"/>
  <c r="C55" i="81"/>
  <c r="G78" i="83"/>
  <c r="F17" i="84"/>
  <c r="F48" i="84"/>
  <c r="F111" i="83"/>
  <c r="F42" i="53"/>
  <c r="F95" i="53"/>
  <c r="D114" i="53"/>
  <c r="D116" i="53"/>
  <c r="D119" i="53"/>
  <c r="E130" i="53"/>
  <c r="D118" i="53"/>
  <c r="E198" i="53"/>
  <c r="D115" i="53"/>
  <c r="G230" i="53"/>
  <c r="G162" i="53"/>
  <c r="E200" i="53"/>
  <c r="E132" i="53"/>
  <c r="F235" i="53"/>
  <c r="F167" i="53"/>
  <c r="G232" i="53"/>
  <c r="G164" i="53"/>
  <c r="F238" i="53"/>
  <c r="F170" i="53"/>
  <c r="B39" i="84"/>
  <c r="H9" i="87"/>
  <c r="I200" i="55"/>
  <c r="G198" i="55"/>
  <c r="G195" i="55"/>
  <c r="G205" i="55"/>
  <c r="J51" i="61"/>
  <c r="G17" i="61"/>
  <c r="F171" i="72"/>
  <c r="J17" i="61"/>
  <c r="I171" i="72"/>
  <c r="K51" i="61"/>
  <c r="G51" i="61"/>
  <c r="L209" i="55"/>
  <c r="H180" i="55"/>
  <c r="H206" i="55"/>
  <c r="H179" i="55"/>
  <c r="H205" i="55"/>
  <c r="H16" i="87"/>
  <c r="H15" i="87"/>
  <c r="F17" i="61"/>
  <c r="G8" i="61"/>
  <c r="F170" i="72"/>
  <c r="E191" i="55"/>
  <c r="C8" i="85"/>
  <c r="D191" i="55"/>
  <c r="E37" i="61"/>
  <c r="F191" i="55"/>
  <c r="G37" i="61"/>
  <c r="H51" i="61"/>
  <c r="E17" i="61"/>
  <c r="D171" i="72"/>
  <c r="D173" i="72"/>
  <c r="E51" i="61"/>
  <c r="F16" i="61"/>
  <c r="F38" i="61"/>
  <c r="C9" i="21"/>
  <c r="C9" i="85"/>
  <c r="C194" i="85"/>
  <c r="H19" i="87"/>
  <c r="Q31" i="87"/>
  <c r="Q32" i="87"/>
  <c r="Q34" i="87"/>
  <c r="H195" i="55"/>
  <c r="H198" i="55"/>
  <c r="H207" i="55"/>
  <c r="H202" i="55"/>
  <c r="F51" i="61"/>
  <c r="E16" i="61"/>
  <c r="E50" i="61"/>
  <c r="G50" i="61"/>
  <c r="G16" i="61"/>
  <c r="N209" i="55"/>
  <c r="M209" i="55"/>
  <c r="G191" i="55"/>
  <c r="F50" i="61"/>
  <c r="E9" i="85"/>
  <c r="E194" i="85"/>
  <c r="H38" i="61"/>
  <c r="E9" i="21"/>
  <c r="H17" i="61"/>
  <c r="G38" i="61"/>
  <c r="D9" i="85"/>
  <c r="D194" i="85"/>
  <c r="D9" i="21"/>
  <c r="I10" i="87"/>
  <c r="I12" i="87"/>
  <c r="I9" i="87"/>
  <c r="J200" i="55"/>
  <c r="H9" i="21"/>
  <c r="H9" i="85"/>
  <c r="H194" i="85"/>
  <c r="K38" i="61"/>
  <c r="H50" i="61"/>
  <c r="E38" i="61"/>
  <c r="B9" i="85"/>
  <c r="B194" i="85"/>
  <c r="B9" i="21"/>
  <c r="H182" i="55"/>
  <c r="H204" i="55"/>
  <c r="H208" i="55"/>
  <c r="J217" i="55"/>
  <c r="J184" i="55"/>
  <c r="J204" i="55"/>
  <c r="J199" i="55"/>
  <c r="J188" i="55"/>
  <c r="J189" i="55"/>
  <c r="J187" i="55"/>
  <c r="J196" i="55"/>
  <c r="J218" i="55"/>
  <c r="J216" i="55"/>
  <c r="J182" i="55"/>
  <c r="J201" i="55"/>
  <c r="I221" i="55"/>
  <c r="F28" i="85"/>
  <c r="F36" i="85"/>
  <c r="F28" i="21"/>
  <c r="F36" i="21"/>
  <c r="C9" i="68"/>
  <c r="G67" i="22"/>
  <c r="F14" i="69"/>
  <c r="I67" i="22"/>
  <c r="H42" i="85"/>
  <c r="D67" i="22"/>
  <c r="C42" i="21"/>
  <c r="E67" i="22"/>
  <c r="D42" i="85"/>
  <c r="D52" i="22"/>
  <c r="E52" i="22"/>
  <c r="F52" i="22"/>
  <c r="G52" i="22"/>
  <c r="H52" i="22"/>
  <c r="I52" i="22"/>
  <c r="K41" i="22"/>
  <c r="L38" i="22"/>
  <c r="L39" i="22"/>
  <c r="L41" i="22"/>
  <c r="M38" i="22"/>
  <c r="H67" i="22"/>
  <c r="G42" i="85"/>
  <c r="L59" i="22"/>
  <c r="M56" i="22"/>
  <c r="M57" i="22"/>
  <c r="M58" i="22"/>
  <c r="K51" i="22"/>
  <c r="K52" i="22"/>
  <c r="F67" i="22"/>
  <c r="E42" i="85"/>
  <c r="C53" i="22"/>
  <c r="D50" i="22"/>
  <c r="D53" i="22"/>
  <c r="E50" i="22"/>
  <c r="E53" i="22"/>
  <c r="F50" i="22"/>
  <c r="F53" i="22"/>
  <c r="K65" i="22"/>
  <c r="L62" i="22"/>
  <c r="L63" i="22"/>
  <c r="L64" i="22"/>
  <c r="C46" i="22"/>
  <c r="C67" i="22"/>
  <c r="D44" i="22"/>
  <c r="K45" i="22"/>
  <c r="K47" i="22"/>
  <c r="K66" i="22"/>
  <c r="K24" i="22"/>
  <c r="H35" i="85"/>
  <c r="F134" i="29"/>
  <c r="F164" i="29"/>
  <c r="F24" i="68"/>
  <c r="F42" i="85"/>
  <c r="K8" i="61"/>
  <c r="J170" i="72"/>
  <c r="J173" i="72"/>
  <c r="E251" i="53"/>
  <c r="E187" i="53"/>
  <c r="E246" i="53"/>
  <c r="E182" i="53"/>
  <c r="H78" i="83"/>
  <c r="H17" i="84"/>
  <c r="H48" i="84"/>
  <c r="G17" i="84"/>
  <c r="G48" i="84"/>
  <c r="E71" i="81"/>
  <c r="D17" i="72"/>
  <c r="D41" i="72"/>
  <c r="F93" i="81"/>
  <c r="F10" i="53"/>
  <c r="F63" i="53"/>
  <c r="H227" i="53"/>
  <c r="H159" i="53"/>
  <c r="F119" i="83"/>
  <c r="F50" i="53"/>
  <c r="F103" i="53"/>
  <c r="E92" i="83"/>
  <c r="D31" i="84"/>
  <c r="F205" i="53"/>
  <c r="F137" i="53"/>
  <c r="F203" i="53"/>
  <c r="F135" i="53"/>
  <c r="D58" i="81"/>
  <c r="C27" i="55"/>
  <c r="C84" i="55"/>
  <c r="C136" i="55"/>
  <c r="F224" i="53"/>
  <c r="F156" i="53"/>
  <c r="F87" i="83"/>
  <c r="E26" i="84"/>
  <c r="E57" i="84"/>
  <c r="F96" i="81"/>
  <c r="F13" i="53"/>
  <c r="F66" i="53"/>
  <c r="D80" i="81"/>
  <c r="C26" i="72"/>
  <c r="C50" i="72"/>
  <c r="D11" i="55"/>
  <c r="E42" i="81"/>
  <c r="H157" i="29"/>
  <c r="H34" i="29"/>
  <c r="H127" i="29"/>
  <c r="H142" i="29"/>
  <c r="H172" i="29"/>
  <c r="D183" i="53"/>
  <c r="D247" i="53"/>
  <c r="E68" i="83"/>
  <c r="D57" i="55"/>
  <c r="D114" i="55"/>
  <c r="D166" i="55"/>
  <c r="E213" i="53"/>
  <c r="E145" i="53"/>
  <c r="E44" i="81"/>
  <c r="D13" i="55"/>
  <c r="D70" i="55"/>
  <c r="D122" i="55"/>
  <c r="G82" i="83"/>
  <c r="F21" i="84"/>
  <c r="F52" i="84"/>
  <c r="E72" i="81"/>
  <c r="D18" i="72"/>
  <c r="D42" i="72"/>
  <c r="D62" i="81"/>
  <c r="C31" i="55"/>
  <c r="C88" i="55"/>
  <c r="C140" i="55"/>
  <c r="H57" i="83"/>
  <c r="H46" i="55"/>
  <c r="H103" i="55"/>
  <c r="H155" i="55"/>
  <c r="G46" i="55"/>
  <c r="G103" i="55"/>
  <c r="G155" i="55"/>
  <c r="G39" i="55"/>
  <c r="G96" i="55"/>
  <c r="G148" i="55"/>
  <c r="H50" i="83"/>
  <c r="H39" i="55"/>
  <c r="H96" i="55"/>
  <c r="H148" i="55"/>
  <c r="I128" i="29"/>
  <c r="I158" i="29"/>
  <c r="I143" i="29"/>
  <c r="I35" i="29"/>
  <c r="I173" i="29"/>
  <c r="B32" i="72"/>
  <c r="F243" i="53"/>
  <c r="F178" i="53"/>
  <c r="F90" i="83"/>
  <c r="E29" i="84"/>
  <c r="E60" i="84"/>
  <c r="E106" i="81"/>
  <c r="E23" i="53"/>
  <c r="E76" i="53"/>
  <c r="G53" i="83"/>
  <c r="F42" i="55"/>
  <c r="F99" i="55"/>
  <c r="F151" i="55"/>
  <c r="G45" i="53"/>
  <c r="G98" i="53"/>
  <c r="G114" i="83"/>
  <c r="G40" i="55"/>
  <c r="G97" i="55"/>
  <c r="G149" i="55"/>
  <c r="H51" i="83"/>
  <c r="H40" i="55"/>
  <c r="H97" i="55"/>
  <c r="H149" i="55"/>
  <c r="H108" i="83"/>
  <c r="I39" i="53"/>
  <c r="I92" i="53"/>
  <c r="H39" i="53"/>
  <c r="H92" i="53"/>
  <c r="I157" i="29"/>
  <c r="I142" i="29"/>
  <c r="I34" i="29"/>
  <c r="I127" i="29"/>
  <c r="I172" i="29"/>
  <c r="E70" i="83"/>
  <c r="D59" i="55"/>
  <c r="D116" i="55"/>
  <c r="D168" i="55"/>
  <c r="G77" i="83"/>
  <c r="F16" i="84"/>
  <c r="F47" i="84"/>
  <c r="E73" i="81"/>
  <c r="D19" i="72"/>
  <c r="D43" i="72"/>
  <c r="E74" i="81"/>
  <c r="D20" i="72"/>
  <c r="D44" i="72"/>
  <c r="F103" i="83"/>
  <c r="F34" i="53"/>
  <c r="F87" i="53"/>
  <c r="F123" i="83"/>
  <c r="F54" i="53"/>
  <c r="F107" i="53"/>
  <c r="G54" i="83"/>
  <c r="F43" i="55"/>
  <c r="F100" i="55"/>
  <c r="F152" i="55"/>
  <c r="F124" i="83"/>
  <c r="F55" i="53"/>
  <c r="F108" i="53"/>
  <c r="E46" i="83"/>
  <c r="D35" i="55"/>
  <c r="E210" i="53"/>
  <c r="E142" i="53"/>
  <c r="E214" i="53"/>
  <c r="E146" i="53"/>
  <c r="D60" i="81"/>
  <c r="C29" i="55"/>
  <c r="C86" i="55"/>
  <c r="C138" i="55"/>
  <c r="H225" i="53"/>
  <c r="H157" i="53"/>
  <c r="E149" i="53"/>
  <c r="E217" i="53"/>
  <c r="H112" i="83"/>
  <c r="I43" i="53"/>
  <c r="I96" i="53"/>
  <c r="H43" i="53"/>
  <c r="H96" i="53"/>
  <c r="F200" i="53"/>
  <c r="F132" i="53"/>
  <c r="H230" i="53"/>
  <c r="H162" i="53"/>
  <c r="C45" i="84"/>
  <c r="C39" i="84"/>
  <c r="D154" i="84"/>
  <c r="D159" i="84"/>
  <c r="D169" i="84"/>
  <c r="D168" i="84"/>
  <c r="G163" i="53"/>
  <c r="G231" i="53"/>
  <c r="D55" i="81"/>
  <c r="C24" i="55"/>
  <c r="C81" i="55"/>
  <c r="C133" i="55"/>
  <c r="F242" i="53"/>
  <c r="F177" i="53"/>
  <c r="C63" i="72"/>
  <c r="C64" i="72"/>
  <c r="D188" i="53"/>
  <c r="D252" i="53"/>
  <c r="E69" i="81"/>
  <c r="D15" i="72"/>
  <c r="D39" i="72"/>
  <c r="E63" i="83"/>
  <c r="D52" i="55"/>
  <c r="D109" i="55"/>
  <c r="D161" i="55"/>
  <c r="F16" i="53"/>
  <c r="F69" i="53"/>
  <c r="F99" i="81"/>
  <c r="F55" i="83"/>
  <c r="E44" i="55"/>
  <c r="E101" i="55"/>
  <c r="E153" i="55"/>
  <c r="F83" i="83"/>
  <c r="E22" i="84"/>
  <c r="E53" i="84"/>
  <c r="G49" i="83"/>
  <c r="F38" i="55"/>
  <c r="F95" i="55"/>
  <c r="F147" i="55"/>
  <c r="F97" i="81"/>
  <c r="F14" i="53"/>
  <c r="F67" i="53"/>
  <c r="D85" i="81"/>
  <c r="C31" i="72"/>
  <c r="C55" i="72"/>
  <c r="E48" i="81"/>
  <c r="D17" i="55"/>
  <c r="D74" i="55"/>
  <c r="D126" i="55"/>
  <c r="E45" i="81"/>
  <c r="D14" i="55"/>
  <c r="D71" i="55"/>
  <c r="D123" i="55"/>
  <c r="G27" i="84"/>
  <c r="G58" i="84"/>
  <c r="H88" i="83"/>
  <c r="H27" i="84"/>
  <c r="H58" i="84"/>
  <c r="F104" i="83"/>
  <c r="F35" i="53"/>
  <c r="F88" i="53"/>
  <c r="D53" i="81"/>
  <c r="C22" i="55"/>
  <c r="C79" i="55"/>
  <c r="C131" i="55"/>
  <c r="E255" i="53"/>
  <c r="E148" i="53"/>
  <c r="E216" i="53"/>
  <c r="E143" i="53"/>
  <c r="E211" i="53"/>
  <c r="E107" i="81"/>
  <c r="E24" i="53"/>
  <c r="E77" i="53"/>
  <c r="E89" i="83"/>
  <c r="D28" i="84"/>
  <c r="D59" i="84"/>
  <c r="E43" i="81"/>
  <c r="D12" i="55"/>
  <c r="D69" i="55"/>
  <c r="D121" i="55"/>
  <c r="F201" i="53"/>
  <c r="F133" i="53"/>
  <c r="F102" i="83"/>
  <c r="F33" i="53"/>
  <c r="F86" i="53"/>
  <c r="H158" i="29"/>
  <c r="H128" i="29"/>
  <c r="H173" i="29"/>
  <c r="H35" i="29"/>
  <c r="H143" i="29"/>
  <c r="E139" i="53"/>
  <c r="E207" i="53"/>
  <c r="F126" i="83"/>
  <c r="F57" i="53"/>
  <c r="F110" i="53"/>
  <c r="E46" i="81"/>
  <c r="D15" i="55"/>
  <c r="D72" i="55"/>
  <c r="D124" i="55"/>
  <c r="E218" i="53"/>
  <c r="E150" i="53"/>
  <c r="E209" i="53"/>
  <c r="E141" i="53"/>
  <c r="D182" i="53"/>
  <c r="D187" i="53"/>
  <c r="D191" i="53"/>
  <c r="D246" i="53"/>
  <c r="D251" i="53"/>
  <c r="D254" i="53"/>
  <c r="D255" i="53"/>
  <c r="E15" i="61"/>
  <c r="H233" i="53"/>
  <c r="H165" i="53"/>
  <c r="C37" i="72"/>
  <c r="C70" i="72"/>
  <c r="C71" i="72"/>
  <c r="H158" i="53"/>
  <c r="H226" i="53"/>
  <c r="F204" i="53"/>
  <c r="F136" i="53"/>
  <c r="E97" i="83"/>
  <c r="D36" i="84"/>
  <c r="D64" i="84"/>
  <c r="E104" i="81"/>
  <c r="E21" i="53"/>
  <c r="E74" i="53"/>
  <c r="E108" i="81"/>
  <c r="E25" i="53"/>
  <c r="E78" i="53"/>
  <c r="H105" i="83"/>
  <c r="I36" i="53"/>
  <c r="I89" i="53"/>
  <c r="H36" i="53"/>
  <c r="H89" i="53"/>
  <c r="E111" i="81"/>
  <c r="E28" i="53"/>
  <c r="E81" i="53"/>
  <c r="H232" i="53"/>
  <c r="H164" i="53"/>
  <c r="F94" i="81"/>
  <c r="F11" i="53"/>
  <c r="F64" i="53"/>
  <c r="H110" i="83"/>
  <c r="I41" i="53"/>
  <c r="I94" i="53"/>
  <c r="H41" i="53"/>
  <c r="H94" i="53"/>
  <c r="D82" i="81"/>
  <c r="C28" i="72"/>
  <c r="C52" i="72"/>
  <c r="H79" i="83"/>
  <c r="H18" i="84"/>
  <c r="H49" i="84"/>
  <c r="G18" i="84"/>
  <c r="G49" i="84"/>
  <c r="E94" i="83"/>
  <c r="D33" i="84"/>
  <c r="E75" i="83"/>
  <c r="D14" i="84"/>
  <c r="D30" i="55"/>
  <c r="D87" i="55"/>
  <c r="D139" i="55"/>
  <c r="E61" i="81"/>
  <c r="D84" i="81"/>
  <c r="C30" i="72"/>
  <c r="C54" i="72"/>
  <c r="F42" i="21"/>
  <c r="E183" i="53"/>
  <c r="E247" i="53"/>
  <c r="E252" i="53"/>
  <c r="E188" i="53"/>
  <c r="G111" i="83"/>
  <c r="G42" i="53"/>
  <c r="G95" i="53"/>
  <c r="F125" i="83"/>
  <c r="F56" i="53"/>
  <c r="F109" i="53"/>
  <c r="G41" i="55"/>
  <c r="G98" i="55"/>
  <c r="G150" i="55"/>
  <c r="H52" i="83"/>
  <c r="H41" i="55"/>
  <c r="H98" i="55"/>
  <c r="H150" i="55"/>
  <c r="E68" i="81"/>
  <c r="D14" i="72"/>
  <c r="D38" i="72"/>
  <c r="E50" i="81"/>
  <c r="D19" i="55"/>
  <c r="D76" i="55"/>
  <c r="D128" i="55"/>
  <c r="H116" i="83"/>
  <c r="I47" i="53"/>
  <c r="I100" i="53"/>
  <c r="H47" i="53"/>
  <c r="H100" i="53"/>
  <c r="F237" i="53"/>
  <c r="F169" i="53"/>
  <c r="D56" i="81"/>
  <c r="C25" i="55"/>
  <c r="C82" i="55"/>
  <c r="C134" i="55"/>
  <c r="D54" i="81"/>
  <c r="C23" i="55"/>
  <c r="C80" i="55"/>
  <c r="C132" i="55"/>
  <c r="D59" i="81"/>
  <c r="C28" i="55"/>
  <c r="C85" i="55"/>
  <c r="C137" i="55"/>
  <c r="E167" i="84"/>
  <c r="E163" i="84"/>
  <c r="C124" i="84"/>
  <c r="C141" i="84"/>
  <c r="C126" i="84"/>
  <c r="C143" i="84"/>
  <c r="E156" i="84"/>
  <c r="C125" i="84"/>
  <c r="C142" i="84"/>
  <c r="E155" i="84"/>
  <c r="E164" i="84"/>
  <c r="E67" i="83"/>
  <c r="D56" i="55"/>
  <c r="D113" i="55"/>
  <c r="D165" i="55"/>
  <c r="E254" i="53"/>
  <c r="E110" i="81"/>
  <c r="E27" i="53"/>
  <c r="E80" i="53"/>
  <c r="D18" i="55"/>
  <c r="D75" i="55"/>
  <c r="D127" i="55"/>
  <c r="E49" i="81"/>
  <c r="E105" i="81"/>
  <c r="E22" i="53"/>
  <c r="E75" i="53"/>
  <c r="E48" i="83"/>
  <c r="D37" i="55"/>
  <c r="D94" i="55"/>
  <c r="D146" i="55"/>
  <c r="H80" i="83"/>
  <c r="H19" i="84"/>
  <c r="H50" i="84"/>
  <c r="G19" i="84"/>
  <c r="G50" i="84"/>
  <c r="D81" i="81"/>
  <c r="C27" i="72"/>
  <c r="C51" i="72"/>
  <c r="F95" i="81"/>
  <c r="F12" i="53"/>
  <c r="F65" i="53"/>
  <c r="G45" i="55"/>
  <c r="G102" i="55"/>
  <c r="G154" i="55"/>
  <c r="H56" i="83"/>
  <c r="H45" i="55"/>
  <c r="H102" i="55"/>
  <c r="H154" i="55"/>
  <c r="F222" i="53"/>
  <c r="F154" i="53"/>
  <c r="D76" i="81"/>
  <c r="C22" i="72"/>
  <c r="C46" i="72"/>
  <c r="E101" i="81"/>
  <c r="E18" i="53"/>
  <c r="E71" i="53"/>
  <c r="H84" i="83"/>
  <c r="H23" i="84"/>
  <c r="H54" i="84"/>
  <c r="G23" i="84"/>
  <c r="G54" i="84"/>
  <c r="B96" i="72"/>
  <c r="B95" i="72"/>
  <c r="E47" i="81"/>
  <c r="D16" i="55"/>
  <c r="D73" i="55"/>
  <c r="D125" i="55"/>
  <c r="E112" i="81"/>
  <c r="E29" i="53"/>
  <c r="E82" i="53"/>
  <c r="D78" i="81"/>
  <c r="C24" i="72"/>
  <c r="C48" i="72"/>
  <c r="E98" i="83"/>
  <c r="D37" i="84"/>
  <c r="D65" i="84"/>
  <c r="E96" i="83"/>
  <c r="D35" i="84"/>
  <c r="D63" i="84"/>
  <c r="F62" i="83"/>
  <c r="E51" i="55"/>
  <c r="E108" i="55"/>
  <c r="E160" i="55"/>
  <c r="F121" i="83"/>
  <c r="F52" i="53"/>
  <c r="F105" i="53"/>
  <c r="G173" i="53"/>
  <c r="G81" i="83"/>
  <c r="F20" i="84"/>
  <c r="F51" i="84"/>
  <c r="E47" i="83"/>
  <c r="D36" i="55"/>
  <c r="D93" i="55"/>
  <c r="D145" i="55"/>
  <c r="F120" i="83"/>
  <c r="F51" i="53"/>
  <c r="F104" i="53"/>
  <c r="G172" i="53"/>
  <c r="E103" i="81"/>
  <c r="E20" i="53"/>
  <c r="E73" i="53"/>
  <c r="H113" i="83"/>
  <c r="I44" i="53"/>
  <c r="I97" i="53"/>
  <c r="H44" i="53"/>
  <c r="H97" i="53"/>
  <c r="E67" i="81"/>
  <c r="D13" i="72"/>
  <c r="E70" i="81"/>
  <c r="D16" i="72"/>
  <c r="D40" i="72"/>
  <c r="H106" i="83"/>
  <c r="I37" i="53"/>
  <c r="I90" i="53"/>
  <c r="H37" i="53"/>
  <c r="H90" i="53"/>
  <c r="F98" i="81"/>
  <c r="F15" i="53"/>
  <c r="F68" i="53"/>
  <c r="F58" i="83"/>
  <c r="E47" i="55"/>
  <c r="E104" i="55"/>
  <c r="E156" i="55"/>
  <c r="D52" i="81"/>
  <c r="C21" i="55"/>
  <c r="C78" i="55"/>
  <c r="C130" i="55"/>
  <c r="H229" i="53"/>
  <c r="H161" i="53"/>
  <c r="G238" i="53"/>
  <c r="G170" i="53"/>
  <c r="G167" i="53"/>
  <c r="G235" i="53"/>
  <c r="F198" i="53"/>
  <c r="E19" i="53"/>
  <c r="E72" i="53"/>
  <c r="E116" i="53"/>
  <c r="F130" i="53"/>
  <c r="E115" i="53"/>
  <c r="E140" i="53"/>
  <c r="E144" i="53"/>
  <c r="E184" i="53"/>
  <c r="E191" i="53"/>
  <c r="E208" i="53"/>
  <c r="B12" i="84"/>
  <c r="B42" i="84"/>
  <c r="E248" i="53"/>
  <c r="F131" i="53"/>
  <c r="F199" i="53"/>
  <c r="H107" i="83"/>
  <c r="I38" i="53"/>
  <c r="I91" i="53"/>
  <c r="H38" i="53"/>
  <c r="H91" i="53"/>
  <c r="F239" i="53"/>
  <c r="F171" i="53"/>
  <c r="B33" i="55"/>
  <c r="H236" i="53"/>
  <c r="H168" i="53"/>
  <c r="G49" i="55"/>
  <c r="G106" i="55"/>
  <c r="G158" i="55"/>
  <c r="H60" i="83"/>
  <c r="H49" i="55"/>
  <c r="H106" i="55"/>
  <c r="H158" i="55"/>
  <c r="F122" i="83"/>
  <c r="F53" i="53"/>
  <c r="F106" i="53"/>
  <c r="G174" i="53"/>
  <c r="F59" i="83"/>
  <c r="E48" i="55"/>
  <c r="E105" i="55"/>
  <c r="E157" i="55"/>
  <c r="F117" i="83"/>
  <c r="F48" i="53"/>
  <c r="F101" i="53"/>
  <c r="F86" i="83"/>
  <c r="E25" i="84"/>
  <c r="E56" i="84"/>
  <c r="E61" i="83"/>
  <c r="D50" i="55"/>
  <c r="D107" i="55"/>
  <c r="D159" i="55"/>
  <c r="E95" i="83"/>
  <c r="D34" i="84"/>
  <c r="D62" i="84"/>
  <c r="H85" i="83"/>
  <c r="H24" i="84"/>
  <c r="H55" i="84"/>
  <c r="G24" i="84"/>
  <c r="G55" i="84"/>
  <c r="F202" i="53"/>
  <c r="F134" i="53"/>
  <c r="C68" i="55"/>
  <c r="C120" i="55"/>
  <c r="E69" i="83"/>
  <c r="D58" i="55"/>
  <c r="D115" i="55"/>
  <c r="D167" i="55"/>
  <c r="E93" i="83"/>
  <c r="D32" i="84"/>
  <c r="C78" i="72"/>
  <c r="C79" i="72"/>
  <c r="G35" i="21"/>
  <c r="G35" i="85"/>
  <c r="D79" i="81"/>
  <c r="C25" i="72"/>
  <c r="C49" i="72"/>
  <c r="D77" i="81"/>
  <c r="C23" i="72"/>
  <c r="C47" i="72"/>
  <c r="E212" i="53"/>
  <c r="F48" i="61"/>
  <c r="G234" i="53"/>
  <c r="G166" i="53"/>
  <c r="D57" i="81"/>
  <c r="C26" i="55"/>
  <c r="C83" i="55"/>
  <c r="C135" i="55"/>
  <c r="H228" i="53"/>
  <c r="H160" i="53"/>
  <c r="D51" i="81"/>
  <c r="C20" i="55"/>
  <c r="C77" i="55"/>
  <c r="C129" i="55"/>
  <c r="F223" i="53"/>
  <c r="F155" i="53"/>
  <c r="F240" i="53"/>
  <c r="F175" i="53"/>
  <c r="F241" i="53"/>
  <c r="F176" i="53"/>
  <c r="C92" i="55"/>
  <c r="C144" i="55"/>
  <c r="C61" i="55"/>
  <c r="H109" i="83"/>
  <c r="I40" i="53"/>
  <c r="I93" i="53"/>
  <c r="H40" i="53"/>
  <c r="H93" i="53"/>
  <c r="D83" i="81"/>
  <c r="C29" i="72"/>
  <c r="C53" i="72"/>
  <c r="G49" i="53"/>
  <c r="G102" i="53"/>
  <c r="G118" i="83"/>
  <c r="G115" i="83"/>
  <c r="G46" i="53"/>
  <c r="G99" i="53"/>
  <c r="E75" i="81"/>
  <c r="D21" i="72"/>
  <c r="D45" i="72"/>
  <c r="F92" i="81"/>
  <c r="F9" i="53"/>
  <c r="F62" i="53"/>
  <c r="E91" i="83"/>
  <c r="D30" i="84"/>
  <c r="D61" i="84"/>
  <c r="E76" i="83"/>
  <c r="D15" i="84"/>
  <c r="D46" i="84"/>
  <c r="E102" i="81"/>
  <c r="E114" i="53"/>
  <c r="F8" i="61"/>
  <c r="E170" i="72"/>
  <c r="E171" i="72"/>
  <c r="O209" i="55"/>
  <c r="H16" i="61"/>
  <c r="G212" i="55"/>
  <c r="H8" i="61"/>
  <c r="G170" i="72"/>
  <c r="I15" i="87"/>
  <c r="I16" i="87"/>
  <c r="I179" i="55"/>
  <c r="I205" i="55"/>
  <c r="I180" i="55"/>
  <c r="I206" i="55"/>
  <c r="F173" i="72"/>
  <c r="D19" i="85"/>
  <c r="H42" i="21"/>
  <c r="J11" i="29"/>
  <c r="J221" i="55"/>
  <c r="H28" i="21"/>
  <c r="D8" i="21"/>
  <c r="E32" i="29"/>
  <c r="F37" i="61"/>
  <c r="C8" i="21"/>
  <c r="B8" i="85"/>
  <c r="B8" i="21"/>
  <c r="C32" i="29"/>
  <c r="D8" i="85"/>
  <c r="D193" i="85"/>
  <c r="P209" i="55"/>
  <c r="G7" i="61"/>
  <c r="E212" i="55"/>
  <c r="C141" i="29"/>
  <c r="C171" i="29"/>
  <c r="C156" i="29"/>
  <c r="C33" i="29"/>
  <c r="C126" i="29"/>
  <c r="I19" i="87"/>
  <c r="R31" i="87"/>
  <c r="R32" i="87"/>
  <c r="R34" i="87"/>
  <c r="I50" i="61"/>
  <c r="I16" i="61"/>
  <c r="J208" i="55"/>
  <c r="E156" i="29"/>
  <c r="E33" i="29"/>
  <c r="E171" i="29"/>
  <c r="E141" i="29"/>
  <c r="E126" i="29"/>
  <c r="F156" i="29"/>
  <c r="F126" i="29"/>
  <c r="F141" i="29"/>
  <c r="F171" i="29"/>
  <c r="F33" i="29"/>
  <c r="H37" i="61"/>
  <c r="E8" i="21"/>
  <c r="E8" i="85"/>
  <c r="I207" i="55"/>
  <c r="I198" i="55"/>
  <c r="I202" i="55"/>
  <c r="I195" i="55"/>
  <c r="I197" i="55"/>
  <c r="D171" i="29"/>
  <c r="D156" i="29"/>
  <c r="D141" i="29"/>
  <c r="D33" i="29"/>
  <c r="D126" i="29"/>
  <c r="H143" i="72"/>
  <c r="H150" i="72"/>
  <c r="H184" i="55"/>
  <c r="H191" i="55"/>
  <c r="I184" i="55"/>
  <c r="I143" i="72"/>
  <c r="I150" i="72"/>
  <c r="H163" i="72"/>
  <c r="I171" i="29"/>
  <c r="I33" i="29"/>
  <c r="I156" i="29"/>
  <c r="I126" i="29"/>
  <c r="I141" i="29"/>
  <c r="H19" i="85"/>
  <c r="J181" i="72"/>
  <c r="J183" i="72"/>
  <c r="H19" i="21"/>
  <c r="C193" i="85"/>
  <c r="H7" i="61"/>
  <c r="F212" i="55"/>
  <c r="D181" i="72"/>
  <c r="D183" i="72"/>
  <c r="B19" i="21"/>
  <c r="B19" i="85"/>
  <c r="H164" i="72"/>
  <c r="H166" i="72"/>
  <c r="I8" i="61"/>
  <c r="H170" i="72"/>
  <c r="G171" i="72"/>
  <c r="D212" i="55"/>
  <c r="D214" i="55"/>
  <c r="F7" i="61"/>
  <c r="G149" i="29"/>
  <c r="G134" i="29"/>
  <c r="G24" i="68"/>
  <c r="G179" i="29"/>
  <c r="G164" i="29"/>
  <c r="G28" i="21"/>
  <c r="G36" i="21"/>
  <c r="G28" i="85"/>
  <c r="C42" i="85"/>
  <c r="C221" i="85"/>
  <c r="H14" i="69"/>
  <c r="C14" i="69"/>
  <c r="D42" i="21"/>
  <c r="F96" i="29"/>
  <c r="D14" i="69"/>
  <c r="G14" i="69"/>
  <c r="G42" i="21"/>
  <c r="I96" i="29"/>
  <c r="K53" i="22"/>
  <c r="L50" i="22"/>
  <c r="L51" i="22"/>
  <c r="L52" i="22"/>
  <c r="E42" i="21"/>
  <c r="G96" i="29"/>
  <c r="M39" i="22"/>
  <c r="M41" i="22"/>
  <c r="N38" i="22"/>
  <c r="N39" i="22"/>
  <c r="M59" i="22"/>
  <c r="N56" i="22"/>
  <c r="N57" i="22"/>
  <c r="N58" i="22"/>
  <c r="E14" i="69"/>
  <c r="C69" i="22"/>
  <c r="L40" i="22"/>
  <c r="E96" i="29"/>
  <c r="E11" i="29"/>
  <c r="D60" i="29"/>
  <c r="C97" i="22"/>
  <c r="D45" i="29"/>
  <c r="G172" i="85"/>
  <c r="F271" i="85"/>
  <c r="F58" i="85"/>
  <c r="F221" i="85"/>
  <c r="G257" i="85"/>
  <c r="F206" i="85"/>
  <c r="D47" i="22"/>
  <c r="D66" i="22"/>
  <c r="C13" i="69"/>
  <c r="G50" i="22"/>
  <c r="B42" i="85"/>
  <c r="B42" i="21"/>
  <c r="B14" i="69"/>
  <c r="B15" i="69"/>
  <c r="H97" i="22"/>
  <c r="J96" i="29"/>
  <c r="I60" i="29"/>
  <c r="L44" i="22"/>
  <c r="H96" i="29"/>
  <c r="F97" i="22"/>
  <c r="H11" i="29"/>
  <c r="G60" i="29"/>
  <c r="G45" i="29"/>
  <c r="D46" i="22"/>
  <c r="C68" i="22"/>
  <c r="E172" i="85"/>
  <c r="D271" i="85"/>
  <c r="E257" i="85"/>
  <c r="D58" i="85"/>
  <c r="D221" i="85"/>
  <c r="D206" i="85"/>
  <c r="F257" i="85"/>
  <c r="E271" i="85"/>
  <c r="F172" i="85"/>
  <c r="E221" i="85"/>
  <c r="E58" i="85"/>
  <c r="E206" i="85"/>
  <c r="L65" i="22"/>
  <c r="M62" i="22"/>
  <c r="K46" i="22"/>
  <c r="K67" i="22"/>
  <c r="H257" i="85"/>
  <c r="G58" i="85"/>
  <c r="G271" i="85"/>
  <c r="H172" i="85"/>
  <c r="G221" i="85"/>
  <c r="H221" i="85"/>
  <c r="H58" i="85"/>
  <c r="I172" i="85"/>
  <c r="H271" i="85"/>
  <c r="I257" i="85"/>
  <c r="H35" i="21"/>
  <c r="H36" i="21"/>
  <c r="G36" i="85"/>
  <c r="G206" i="85"/>
  <c r="D172" i="85"/>
  <c r="D257" i="85"/>
  <c r="C58" i="85"/>
  <c r="C206" i="85"/>
  <c r="I7" i="61"/>
  <c r="H211" i="55"/>
  <c r="C12" i="85"/>
  <c r="C12" i="21"/>
  <c r="F35" i="61"/>
  <c r="B12" i="21"/>
  <c r="E35" i="61"/>
  <c r="B12" i="85"/>
  <c r="B197" i="85"/>
  <c r="F182" i="53"/>
  <c r="F246" i="53"/>
  <c r="F6" i="61"/>
  <c r="E260" i="53"/>
  <c r="D261" i="53"/>
  <c r="D263" i="53"/>
  <c r="C271" i="85"/>
  <c r="E173" i="72"/>
  <c r="C19" i="85"/>
  <c r="F76" i="83"/>
  <c r="E15" i="84"/>
  <c r="E46" i="84"/>
  <c r="G92" i="81"/>
  <c r="G9" i="53"/>
  <c r="G62" i="53"/>
  <c r="H115" i="83"/>
  <c r="I46" i="53"/>
  <c r="I99" i="53"/>
  <c r="H46" i="53"/>
  <c r="H99" i="53"/>
  <c r="E83" i="81"/>
  <c r="D29" i="72"/>
  <c r="D53" i="72"/>
  <c r="E51" i="81"/>
  <c r="D20" i="55"/>
  <c r="D77" i="55"/>
  <c r="D129" i="55"/>
  <c r="E57" i="81"/>
  <c r="D26" i="55"/>
  <c r="D83" i="55"/>
  <c r="D135" i="55"/>
  <c r="E79" i="81"/>
  <c r="D25" i="72"/>
  <c r="D49" i="72"/>
  <c r="F61" i="83"/>
  <c r="E50" i="55"/>
  <c r="E107" i="55"/>
  <c r="E159" i="55"/>
  <c r="G117" i="83"/>
  <c r="G48" i="53"/>
  <c r="G101" i="53"/>
  <c r="G53" i="53"/>
  <c r="G106" i="53"/>
  <c r="H174" i="53"/>
  <c r="G122" i="83"/>
  <c r="I159" i="53"/>
  <c r="I227" i="53"/>
  <c r="F15" i="61"/>
  <c r="G136" i="53"/>
  <c r="G204" i="53"/>
  <c r="D71" i="72"/>
  <c r="D70" i="72"/>
  <c r="I165" i="53"/>
  <c r="I233" i="53"/>
  <c r="F209" i="53"/>
  <c r="F141" i="53"/>
  <c r="F49" i="81"/>
  <c r="E18" i="55"/>
  <c r="E75" i="55"/>
  <c r="E127" i="55"/>
  <c r="E54" i="81"/>
  <c r="D23" i="55"/>
  <c r="D80" i="55"/>
  <c r="D132" i="55"/>
  <c r="F50" i="81"/>
  <c r="E19" i="55"/>
  <c r="E76" i="55"/>
  <c r="E128" i="55"/>
  <c r="H111" i="83"/>
  <c r="I42" i="53"/>
  <c r="I95" i="53"/>
  <c r="H42" i="53"/>
  <c r="H95" i="53"/>
  <c r="E84" i="81"/>
  <c r="D30" i="72"/>
  <c r="D54" i="72"/>
  <c r="F75" i="83"/>
  <c r="E14" i="84"/>
  <c r="J230" i="53"/>
  <c r="J162" i="53"/>
  <c r="J225" i="53"/>
  <c r="J157" i="53"/>
  <c r="F104" i="81"/>
  <c r="F21" i="53"/>
  <c r="F74" i="53"/>
  <c r="G222" i="53"/>
  <c r="G154" i="53"/>
  <c r="F213" i="53"/>
  <c r="F145" i="53"/>
  <c r="E53" i="81"/>
  <c r="D22" i="55"/>
  <c r="D79" i="55"/>
  <c r="D131" i="55"/>
  <c r="F48" i="81"/>
  <c r="E17" i="55"/>
  <c r="E74" i="55"/>
  <c r="E126" i="55"/>
  <c r="G97" i="81"/>
  <c r="G14" i="53"/>
  <c r="G67" i="53"/>
  <c r="G83" i="83"/>
  <c r="F22" i="84"/>
  <c r="F53" i="84"/>
  <c r="G137" i="53"/>
  <c r="G205" i="53"/>
  <c r="F69" i="81"/>
  <c r="E15" i="72"/>
  <c r="E39" i="72"/>
  <c r="E55" i="81"/>
  <c r="D24" i="55"/>
  <c r="D81" i="55"/>
  <c r="D133" i="55"/>
  <c r="E60" i="81"/>
  <c r="D29" i="55"/>
  <c r="D86" i="55"/>
  <c r="D138" i="55"/>
  <c r="G55" i="53"/>
  <c r="G108" i="53"/>
  <c r="G124" i="83"/>
  <c r="G123" i="83"/>
  <c r="G54" i="53"/>
  <c r="G107" i="53"/>
  <c r="F74" i="81"/>
  <c r="E20" i="72"/>
  <c r="E44" i="72"/>
  <c r="G16" i="84"/>
  <c r="G47" i="84"/>
  <c r="H77" i="83"/>
  <c r="H16" i="84"/>
  <c r="H47" i="84"/>
  <c r="H53" i="83"/>
  <c r="H42" i="55"/>
  <c r="H99" i="55"/>
  <c r="H151" i="55"/>
  <c r="G42" i="55"/>
  <c r="G99" i="55"/>
  <c r="G151" i="55"/>
  <c r="G90" i="83"/>
  <c r="F29" i="84"/>
  <c r="F60" i="84"/>
  <c r="F72" i="81"/>
  <c r="E18" i="72"/>
  <c r="E42" i="72"/>
  <c r="F44" i="81"/>
  <c r="E13" i="55"/>
  <c r="E70" i="55"/>
  <c r="E122" i="55"/>
  <c r="F68" i="83"/>
  <c r="E57" i="55"/>
  <c r="E114" i="55"/>
  <c r="E166" i="55"/>
  <c r="F42" i="81"/>
  <c r="E11" i="55"/>
  <c r="G202" i="53"/>
  <c r="G134" i="53"/>
  <c r="G171" i="53"/>
  <c r="G239" i="53"/>
  <c r="G199" i="53"/>
  <c r="G131" i="53"/>
  <c r="F140" i="53"/>
  <c r="F208" i="53"/>
  <c r="H118" i="83"/>
  <c r="I49" i="53"/>
  <c r="I102" i="53"/>
  <c r="H49" i="53"/>
  <c r="H102" i="53"/>
  <c r="I161" i="53"/>
  <c r="I229" i="53"/>
  <c r="C96" i="72"/>
  <c r="C95" i="72"/>
  <c r="F69" i="83"/>
  <c r="E58" i="55"/>
  <c r="E115" i="55"/>
  <c r="E167" i="55"/>
  <c r="D125" i="84"/>
  <c r="D142" i="84"/>
  <c r="F155" i="84"/>
  <c r="F167" i="84"/>
  <c r="F163" i="84"/>
  <c r="D126" i="84"/>
  <c r="D143" i="84"/>
  <c r="F156" i="84"/>
  <c r="D124" i="84"/>
  <c r="D141" i="84"/>
  <c r="F164" i="84"/>
  <c r="B65" i="55"/>
  <c r="B10" i="55"/>
  <c r="J227" i="53"/>
  <c r="J159" i="53"/>
  <c r="E118" i="53"/>
  <c r="E52" i="81"/>
  <c r="D21" i="55"/>
  <c r="D78" i="55"/>
  <c r="D130" i="55"/>
  <c r="G98" i="81"/>
  <c r="G15" i="53"/>
  <c r="G68" i="53"/>
  <c r="F70" i="81"/>
  <c r="E16" i="72"/>
  <c r="E40" i="72"/>
  <c r="J233" i="53"/>
  <c r="J165" i="53"/>
  <c r="F103" i="81"/>
  <c r="F20" i="53"/>
  <c r="F73" i="53"/>
  <c r="F47" i="83"/>
  <c r="E36" i="55"/>
  <c r="E93" i="55"/>
  <c r="E145" i="55"/>
  <c r="G121" i="83"/>
  <c r="G52" i="53"/>
  <c r="G105" i="53"/>
  <c r="H173" i="53"/>
  <c r="F96" i="83"/>
  <c r="E35" i="84"/>
  <c r="E63" i="84"/>
  <c r="E78" i="81"/>
  <c r="D24" i="72"/>
  <c r="D48" i="72"/>
  <c r="F47" i="81"/>
  <c r="E16" i="55"/>
  <c r="E73" i="55"/>
  <c r="E125" i="55"/>
  <c r="E76" i="81"/>
  <c r="D22" i="72"/>
  <c r="D46" i="72"/>
  <c r="E81" i="81"/>
  <c r="D27" i="72"/>
  <c r="D51" i="72"/>
  <c r="F48" i="83"/>
  <c r="E37" i="55"/>
  <c r="E94" i="55"/>
  <c r="E146" i="55"/>
  <c r="I236" i="53"/>
  <c r="I168" i="53"/>
  <c r="D64" i="72"/>
  <c r="D63" i="72"/>
  <c r="G242" i="53"/>
  <c r="G177" i="53"/>
  <c r="F61" i="81"/>
  <c r="E30" i="55"/>
  <c r="E87" i="55"/>
  <c r="E139" i="55"/>
  <c r="G132" i="53"/>
  <c r="G200" i="53"/>
  <c r="F149" i="53"/>
  <c r="F217" i="53"/>
  <c r="F214" i="53"/>
  <c r="F146" i="53"/>
  <c r="C32" i="72"/>
  <c r="F46" i="81"/>
  <c r="E15" i="55"/>
  <c r="E72" i="55"/>
  <c r="E124" i="55"/>
  <c r="G102" i="83"/>
  <c r="G33" i="53"/>
  <c r="G86" i="53"/>
  <c r="F43" i="81"/>
  <c r="E12" i="55"/>
  <c r="E69" i="55"/>
  <c r="E121" i="55"/>
  <c r="F107" i="81"/>
  <c r="F24" i="53"/>
  <c r="F77" i="53"/>
  <c r="G224" i="53"/>
  <c r="G156" i="53"/>
  <c r="I232" i="53"/>
  <c r="I164" i="53"/>
  <c r="D92" i="55"/>
  <c r="D144" i="55"/>
  <c r="D61" i="55"/>
  <c r="G155" i="53"/>
  <c r="G223" i="53"/>
  <c r="I228" i="53"/>
  <c r="I160" i="53"/>
  <c r="H114" i="83"/>
  <c r="I45" i="53"/>
  <c r="I98" i="53"/>
  <c r="H45" i="53"/>
  <c r="H98" i="53"/>
  <c r="F212" i="53"/>
  <c r="F144" i="53"/>
  <c r="D68" i="55"/>
  <c r="D120" i="55"/>
  <c r="G96" i="81"/>
  <c r="G13" i="53"/>
  <c r="G66" i="53"/>
  <c r="G119" i="83"/>
  <c r="G50" i="53"/>
  <c r="G103" i="53"/>
  <c r="G93" i="81"/>
  <c r="G10" i="53"/>
  <c r="G63" i="53"/>
  <c r="F102" i="81"/>
  <c r="F19" i="53"/>
  <c r="F72" i="53"/>
  <c r="F91" i="83"/>
  <c r="E30" i="84"/>
  <c r="E61" i="84"/>
  <c r="F75" i="81"/>
  <c r="E21" i="72"/>
  <c r="E45" i="72"/>
  <c r="H238" i="53"/>
  <c r="H170" i="53"/>
  <c r="J229" i="53"/>
  <c r="J161" i="53"/>
  <c r="E77" i="81"/>
  <c r="D23" i="72"/>
  <c r="D47" i="72"/>
  <c r="F95" i="83"/>
  <c r="E34" i="84"/>
  <c r="E62" i="84"/>
  <c r="G86" i="83"/>
  <c r="F25" i="84"/>
  <c r="F56" i="84"/>
  <c r="G59" i="83"/>
  <c r="F48" i="55"/>
  <c r="F105" i="55"/>
  <c r="F157" i="55"/>
  <c r="E119" i="53"/>
  <c r="I158" i="53"/>
  <c r="I226" i="53"/>
  <c r="D37" i="72"/>
  <c r="F218" i="53"/>
  <c r="F150" i="53"/>
  <c r="F207" i="53"/>
  <c r="F139" i="53"/>
  <c r="G133" i="53"/>
  <c r="G201" i="53"/>
  <c r="F211" i="53"/>
  <c r="F143" i="53"/>
  <c r="F216" i="53"/>
  <c r="F148" i="53"/>
  <c r="F67" i="83"/>
  <c r="E56" i="55"/>
  <c r="E113" i="55"/>
  <c r="E165" i="55"/>
  <c r="E154" i="84"/>
  <c r="E159" i="84"/>
  <c r="E168" i="84"/>
  <c r="E169" i="84"/>
  <c r="E59" i="81"/>
  <c r="D28" i="55"/>
  <c r="D85" i="55"/>
  <c r="D137" i="55"/>
  <c r="E56" i="81"/>
  <c r="D25" i="55"/>
  <c r="D82" i="55"/>
  <c r="D134" i="55"/>
  <c r="J236" i="53"/>
  <c r="J168" i="53"/>
  <c r="F68" i="81"/>
  <c r="E14" i="72"/>
  <c r="E38" i="72"/>
  <c r="G125" i="83"/>
  <c r="G56" i="53"/>
  <c r="G109" i="53"/>
  <c r="F94" i="83"/>
  <c r="E33" i="84"/>
  <c r="E82" i="81"/>
  <c r="D28" i="72"/>
  <c r="D52" i="72"/>
  <c r="G94" i="81"/>
  <c r="G11" i="53"/>
  <c r="G64" i="53"/>
  <c r="F111" i="81"/>
  <c r="F28" i="53"/>
  <c r="F81" i="53"/>
  <c r="F108" i="81"/>
  <c r="F25" i="53"/>
  <c r="F78" i="53"/>
  <c r="E36" i="84"/>
  <c r="E64" i="84"/>
  <c r="F97" i="83"/>
  <c r="G243" i="53"/>
  <c r="G178" i="53"/>
  <c r="E48" i="61"/>
  <c r="G104" i="83"/>
  <c r="G35" i="53"/>
  <c r="G88" i="53"/>
  <c r="F45" i="81"/>
  <c r="E14" i="55"/>
  <c r="E71" i="55"/>
  <c r="E123" i="55"/>
  <c r="E85" i="81"/>
  <c r="D31" i="72"/>
  <c r="D55" i="72"/>
  <c r="H49" i="83"/>
  <c r="H38" i="55"/>
  <c r="H95" i="55"/>
  <c r="H147" i="55"/>
  <c r="G38" i="55"/>
  <c r="G95" i="55"/>
  <c r="G147" i="55"/>
  <c r="G55" i="83"/>
  <c r="F44" i="55"/>
  <c r="F101" i="55"/>
  <c r="F153" i="55"/>
  <c r="F63" i="83"/>
  <c r="E52" i="55"/>
  <c r="E109" i="55"/>
  <c r="E161" i="55"/>
  <c r="B13" i="21"/>
  <c r="B13" i="85"/>
  <c r="B198" i="85"/>
  <c r="E40" i="61"/>
  <c r="J164" i="53"/>
  <c r="J232" i="53"/>
  <c r="F46" i="83"/>
  <c r="E35" i="55"/>
  <c r="G43" i="55"/>
  <c r="G100" i="55"/>
  <c r="G152" i="55"/>
  <c r="H54" i="83"/>
  <c r="H43" i="55"/>
  <c r="H100" i="55"/>
  <c r="H152" i="55"/>
  <c r="G103" i="83"/>
  <c r="G34" i="53"/>
  <c r="G87" i="53"/>
  <c r="F73" i="81"/>
  <c r="E19" i="72"/>
  <c r="E43" i="72"/>
  <c r="F70" i="83"/>
  <c r="E59" i="55"/>
  <c r="E116" i="55"/>
  <c r="E168" i="55"/>
  <c r="J160" i="53"/>
  <c r="J228" i="53"/>
  <c r="H234" i="53"/>
  <c r="H166" i="53"/>
  <c r="F106" i="81"/>
  <c r="F23" i="53"/>
  <c r="F76" i="53"/>
  <c r="E62" i="81"/>
  <c r="D31" i="55"/>
  <c r="D88" i="55"/>
  <c r="D140" i="55"/>
  <c r="H82" i="83"/>
  <c r="H21" i="84"/>
  <c r="H52" i="84"/>
  <c r="G21" i="84"/>
  <c r="G52" i="84"/>
  <c r="G198" i="53"/>
  <c r="G130" i="53"/>
  <c r="H235" i="53"/>
  <c r="H167" i="53"/>
  <c r="E32" i="84"/>
  <c r="F93" i="83"/>
  <c r="C33" i="55"/>
  <c r="G237" i="53"/>
  <c r="G169" i="53"/>
  <c r="D165" i="84"/>
  <c r="D166" i="84"/>
  <c r="E18" i="61"/>
  <c r="F247" i="53"/>
  <c r="F183" i="53"/>
  <c r="F184" i="53"/>
  <c r="F248" i="53"/>
  <c r="G58" i="83"/>
  <c r="F47" i="55"/>
  <c r="F104" i="55"/>
  <c r="F156" i="55"/>
  <c r="J226" i="53"/>
  <c r="J158" i="53"/>
  <c r="F67" i="81"/>
  <c r="E13" i="72"/>
  <c r="G51" i="53"/>
  <c r="G104" i="53"/>
  <c r="H172" i="53"/>
  <c r="G120" i="83"/>
  <c r="G20" i="84"/>
  <c r="G51" i="84"/>
  <c r="H81" i="83"/>
  <c r="H20" i="84"/>
  <c r="H51" i="84"/>
  <c r="G62" i="83"/>
  <c r="F51" i="55"/>
  <c r="F108" i="55"/>
  <c r="F160" i="55"/>
  <c r="F98" i="83"/>
  <c r="E37" i="84"/>
  <c r="E65" i="84"/>
  <c r="F112" i="81"/>
  <c r="F29" i="53"/>
  <c r="F82" i="53"/>
  <c r="F101" i="81"/>
  <c r="F18" i="53"/>
  <c r="F71" i="53"/>
  <c r="G95" i="81"/>
  <c r="G12" i="53"/>
  <c r="G65" i="53"/>
  <c r="F105" i="81"/>
  <c r="F22" i="53"/>
  <c r="F75" i="53"/>
  <c r="F110" i="81"/>
  <c r="F27" i="53"/>
  <c r="F80" i="53"/>
  <c r="H231" i="53"/>
  <c r="H163" i="53"/>
  <c r="D45" i="84"/>
  <c r="D39" i="84"/>
  <c r="I162" i="53"/>
  <c r="I230" i="53"/>
  <c r="I157" i="53"/>
  <c r="I225" i="53"/>
  <c r="F210" i="53"/>
  <c r="F142" i="53"/>
  <c r="G57" i="53"/>
  <c r="G110" i="53"/>
  <c r="G126" i="83"/>
  <c r="F89" i="83"/>
  <c r="E28" i="84"/>
  <c r="E59" i="84"/>
  <c r="G203" i="53"/>
  <c r="G135" i="53"/>
  <c r="G99" i="81"/>
  <c r="G16" i="53"/>
  <c r="G69" i="53"/>
  <c r="C12" i="84"/>
  <c r="C42" i="84"/>
  <c r="G241" i="53"/>
  <c r="G176" i="53"/>
  <c r="G240" i="53"/>
  <c r="G175" i="53"/>
  <c r="B12" i="72"/>
  <c r="B35" i="72"/>
  <c r="D79" i="72"/>
  <c r="D78" i="72"/>
  <c r="E80" i="81"/>
  <c r="D26" i="72"/>
  <c r="D50" i="72"/>
  <c r="G87" i="83"/>
  <c r="F26" i="84"/>
  <c r="F57" i="84"/>
  <c r="E58" i="81"/>
  <c r="D27" i="55"/>
  <c r="D84" i="55"/>
  <c r="D136" i="55"/>
  <c r="F92" i="83"/>
  <c r="E31" i="84"/>
  <c r="F71" i="81"/>
  <c r="E17" i="72"/>
  <c r="E41" i="72"/>
  <c r="E125" i="29"/>
  <c r="G173" i="72"/>
  <c r="E19" i="85"/>
  <c r="E155" i="29"/>
  <c r="E140" i="29"/>
  <c r="I191" i="55"/>
  <c r="G8" i="85"/>
  <c r="G193" i="85"/>
  <c r="F181" i="72"/>
  <c r="F183" i="72"/>
  <c r="J180" i="55"/>
  <c r="J206" i="55"/>
  <c r="J179" i="55"/>
  <c r="J205" i="55"/>
  <c r="E60" i="29"/>
  <c r="D19" i="21"/>
  <c r="H28" i="85"/>
  <c r="H36" i="85"/>
  <c r="H206" i="85"/>
  <c r="E170" i="29"/>
  <c r="D125" i="29"/>
  <c r="D32" i="29"/>
  <c r="D170" i="29"/>
  <c r="D140" i="29"/>
  <c r="D155" i="29"/>
  <c r="C155" i="29"/>
  <c r="B15" i="21"/>
  <c r="C6" i="68"/>
  <c r="C125" i="29"/>
  <c r="C140" i="29"/>
  <c r="C170" i="29"/>
  <c r="B193" i="85"/>
  <c r="B200" i="85"/>
  <c r="G8" i="21"/>
  <c r="H155" i="29"/>
  <c r="F211" i="55"/>
  <c r="F214" i="55"/>
  <c r="B18" i="21"/>
  <c r="D222" i="55"/>
  <c r="D225" i="55"/>
  <c r="B18" i="85"/>
  <c r="G211" i="55"/>
  <c r="G214" i="55"/>
  <c r="I38" i="61"/>
  <c r="F9" i="85"/>
  <c r="F194" i="85"/>
  <c r="F9" i="21"/>
  <c r="C19" i="21"/>
  <c r="G9" i="21"/>
  <c r="G9" i="85"/>
  <c r="G194" i="85"/>
  <c r="J38" i="61"/>
  <c r="I37" i="61"/>
  <c r="F8" i="85"/>
  <c r="F8" i="21"/>
  <c r="J16" i="61"/>
  <c r="J50" i="61"/>
  <c r="Q209" i="55"/>
  <c r="J7" i="61"/>
  <c r="H212" i="55"/>
  <c r="I51" i="61"/>
  <c r="I17" i="61"/>
  <c r="E211" i="55"/>
  <c r="E214" i="55"/>
  <c r="E193" i="85"/>
  <c r="F32" i="29"/>
  <c r="F170" i="29"/>
  <c r="F125" i="29"/>
  <c r="F155" i="29"/>
  <c r="F140" i="29"/>
  <c r="J207" i="55"/>
  <c r="J195" i="55"/>
  <c r="J197" i="55"/>
  <c r="J198" i="55"/>
  <c r="J202" i="55"/>
  <c r="H134" i="29"/>
  <c r="H164" i="29"/>
  <c r="H149" i="29"/>
  <c r="H179" i="29"/>
  <c r="H24" i="68"/>
  <c r="D97" i="22"/>
  <c r="F11" i="29"/>
  <c r="E45" i="29"/>
  <c r="K69" i="22"/>
  <c r="H60" i="29"/>
  <c r="C15" i="69"/>
  <c r="G97" i="22"/>
  <c r="I11" i="29"/>
  <c r="H45" i="29"/>
  <c r="N41" i="22"/>
  <c r="O38" i="22"/>
  <c r="O39" i="22"/>
  <c r="L53" i="22"/>
  <c r="M50" i="22"/>
  <c r="M51" i="22"/>
  <c r="M52" i="22"/>
  <c r="G11" i="29"/>
  <c r="F60" i="29"/>
  <c r="F45" i="29"/>
  <c r="E97" i="22"/>
  <c r="M40" i="22"/>
  <c r="N40" i="22"/>
  <c r="N59" i="22"/>
  <c r="O56" i="22"/>
  <c r="B59" i="85"/>
  <c r="B98" i="22"/>
  <c r="L45" i="22"/>
  <c r="L67" i="22"/>
  <c r="L66" i="22"/>
  <c r="D11" i="29"/>
  <c r="B97" i="22"/>
  <c r="D96" i="29"/>
  <c r="C60" i="29"/>
  <c r="C45" i="29"/>
  <c r="G53" i="22"/>
  <c r="D68" i="22"/>
  <c r="E46" i="22"/>
  <c r="K68" i="22"/>
  <c r="M63" i="22"/>
  <c r="M64" i="22"/>
  <c r="C172" i="85"/>
  <c r="B271" i="85"/>
  <c r="C257" i="85"/>
  <c r="B58" i="85"/>
  <c r="B221" i="85"/>
  <c r="B206" i="85"/>
  <c r="E44" i="22"/>
  <c r="D69" i="22"/>
  <c r="I164" i="29"/>
  <c r="I134" i="29"/>
  <c r="I24" i="68"/>
  <c r="I149" i="29"/>
  <c r="I45" i="29"/>
  <c r="I179" i="29"/>
  <c r="E19" i="21"/>
  <c r="E181" i="72"/>
  <c r="E183" i="72"/>
  <c r="G216" i="53"/>
  <c r="G148" i="53"/>
  <c r="H133" i="53"/>
  <c r="H201" i="53"/>
  <c r="G150" i="53"/>
  <c r="G218" i="53"/>
  <c r="H120" i="83"/>
  <c r="I51" i="53"/>
  <c r="I104" i="53"/>
  <c r="H51" i="53"/>
  <c r="H104" i="53"/>
  <c r="J172" i="53"/>
  <c r="I172" i="53"/>
  <c r="D175" i="84"/>
  <c r="D177" i="84"/>
  <c r="F9" i="61"/>
  <c r="C10" i="55"/>
  <c r="C65" i="55"/>
  <c r="F114" i="53"/>
  <c r="F62" i="81"/>
  <c r="E31" i="55"/>
  <c r="E88" i="55"/>
  <c r="E140" i="55"/>
  <c r="G70" i="83"/>
  <c r="F59" i="55"/>
  <c r="F116" i="55"/>
  <c r="F168" i="55"/>
  <c r="H103" i="83"/>
  <c r="I34" i="53"/>
  <c r="I87" i="53"/>
  <c r="H34" i="53"/>
  <c r="H87" i="53"/>
  <c r="G46" i="83"/>
  <c r="F35" i="55"/>
  <c r="H224" i="53"/>
  <c r="H156" i="53"/>
  <c r="G108" i="81"/>
  <c r="G25" i="53"/>
  <c r="G78" i="53"/>
  <c r="H11" i="53"/>
  <c r="H64" i="53"/>
  <c r="H94" i="81"/>
  <c r="I11" i="53"/>
  <c r="I64" i="53"/>
  <c r="G94" i="83"/>
  <c r="G33" i="84"/>
  <c r="F33" i="84"/>
  <c r="G68" i="81"/>
  <c r="F14" i="72"/>
  <c r="F38" i="72"/>
  <c r="F56" i="81"/>
  <c r="E25" i="55"/>
  <c r="E82" i="55"/>
  <c r="E134" i="55"/>
  <c r="G164" i="84"/>
  <c r="E125" i="84"/>
  <c r="E142" i="84"/>
  <c r="G155" i="84"/>
  <c r="G163" i="84"/>
  <c r="E126" i="84"/>
  <c r="E143" i="84"/>
  <c r="G156" i="84"/>
  <c r="G167" i="84"/>
  <c r="E124" i="84"/>
  <c r="E141" i="84"/>
  <c r="G208" i="53"/>
  <c r="G140" i="53"/>
  <c r="H119" i="83"/>
  <c r="I50" i="53"/>
  <c r="I103" i="53"/>
  <c r="H50" i="53"/>
  <c r="H103" i="53"/>
  <c r="J234" i="53"/>
  <c r="J166" i="53"/>
  <c r="G24" i="53"/>
  <c r="G77" i="53"/>
  <c r="G107" i="81"/>
  <c r="H102" i="83"/>
  <c r="I33" i="53"/>
  <c r="I86" i="53"/>
  <c r="H33" i="53"/>
  <c r="H86" i="53"/>
  <c r="H204" i="53"/>
  <c r="H136" i="53"/>
  <c r="F154" i="84"/>
  <c r="F159" i="84"/>
  <c r="F168" i="84"/>
  <c r="F169" i="84"/>
  <c r="J238" i="53"/>
  <c r="J170" i="53"/>
  <c r="G42" i="81"/>
  <c r="F11" i="55"/>
  <c r="G44" i="81"/>
  <c r="F13" i="55"/>
  <c r="F70" i="55"/>
  <c r="F122" i="55"/>
  <c r="H90" i="83"/>
  <c r="H29" i="84"/>
  <c r="H60" i="84"/>
  <c r="G29" i="84"/>
  <c r="G60" i="84"/>
  <c r="H123" i="83"/>
  <c r="I54" i="53"/>
  <c r="I107" i="53"/>
  <c r="H54" i="53"/>
  <c r="H107" i="53"/>
  <c r="F60" i="81"/>
  <c r="E29" i="55"/>
  <c r="E86" i="55"/>
  <c r="E138" i="55"/>
  <c r="G69" i="81"/>
  <c r="F15" i="72"/>
  <c r="F39" i="72"/>
  <c r="G22" i="84"/>
  <c r="G53" i="84"/>
  <c r="H83" i="83"/>
  <c r="H22" i="84"/>
  <c r="H53" i="84"/>
  <c r="G48" i="81"/>
  <c r="F17" i="55"/>
  <c r="F74" i="55"/>
  <c r="F126" i="55"/>
  <c r="G21" i="53"/>
  <c r="G74" i="53"/>
  <c r="G104" i="81"/>
  <c r="F84" i="81"/>
  <c r="E30" i="72"/>
  <c r="E54" i="72"/>
  <c r="G50" i="81"/>
  <c r="F19" i="55"/>
  <c r="F76" i="55"/>
  <c r="F128" i="55"/>
  <c r="G49" i="81"/>
  <c r="F18" i="55"/>
  <c r="F75" i="55"/>
  <c r="F127" i="55"/>
  <c r="H117" i="83"/>
  <c r="I48" i="53"/>
  <c r="I101" i="53"/>
  <c r="H48" i="53"/>
  <c r="H101" i="53"/>
  <c r="F79" i="81"/>
  <c r="E25" i="72"/>
  <c r="E49" i="72"/>
  <c r="F51" i="81"/>
  <c r="E20" i="55"/>
  <c r="E77" i="55"/>
  <c r="E129" i="55"/>
  <c r="J235" i="53"/>
  <c r="J167" i="53"/>
  <c r="G76" i="83"/>
  <c r="F15" i="84"/>
  <c r="F46" i="84"/>
  <c r="G71" i="81"/>
  <c r="F17" i="72"/>
  <c r="F41" i="72"/>
  <c r="F58" i="81"/>
  <c r="E27" i="55"/>
  <c r="E84" i="55"/>
  <c r="E136" i="55"/>
  <c r="F80" i="81"/>
  <c r="E26" i="72"/>
  <c r="E50" i="72"/>
  <c r="H99" i="81"/>
  <c r="I16" i="53"/>
  <c r="I69" i="53"/>
  <c r="H16" i="53"/>
  <c r="H69" i="53"/>
  <c r="G89" i="83"/>
  <c r="F28" i="84"/>
  <c r="F59" i="84"/>
  <c r="G110" i="81"/>
  <c r="G27" i="53"/>
  <c r="G80" i="53"/>
  <c r="H95" i="81"/>
  <c r="I12" i="53"/>
  <c r="I65" i="53"/>
  <c r="H12" i="53"/>
  <c r="H65" i="53"/>
  <c r="G112" i="81"/>
  <c r="G29" i="53"/>
  <c r="G82" i="53"/>
  <c r="G51" i="55"/>
  <c r="G108" i="55"/>
  <c r="G160" i="55"/>
  <c r="H62" i="83"/>
  <c r="H51" i="55"/>
  <c r="H108" i="55"/>
  <c r="H160" i="55"/>
  <c r="E53" i="61"/>
  <c r="G93" i="83"/>
  <c r="G32" i="84"/>
  <c r="F32" i="84"/>
  <c r="G212" i="53"/>
  <c r="G144" i="53"/>
  <c r="C130" i="29"/>
  <c r="C160" i="29"/>
  <c r="C37" i="29"/>
  <c r="C175" i="29"/>
  <c r="C145" i="29"/>
  <c r="G44" i="55"/>
  <c r="G101" i="55"/>
  <c r="G153" i="55"/>
  <c r="H55" i="83"/>
  <c r="H44" i="55"/>
  <c r="H101" i="55"/>
  <c r="H153" i="55"/>
  <c r="F85" i="81"/>
  <c r="E31" i="72"/>
  <c r="E55" i="72"/>
  <c r="H104" i="83"/>
  <c r="I35" i="53"/>
  <c r="I88" i="53"/>
  <c r="H35" i="53"/>
  <c r="H88" i="53"/>
  <c r="G97" i="83"/>
  <c r="F36" i="84"/>
  <c r="F64" i="84"/>
  <c r="G217" i="53"/>
  <c r="G149" i="53"/>
  <c r="H177" i="53"/>
  <c r="H242" i="53"/>
  <c r="F40" i="61"/>
  <c r="F42" i="61"/>
  <c r="C13" i="85"/>
  <c r="C198" i="85"/>
  <c r="C13" i="21"/>
  <c r="H59" i="83"/>
  <c r="H48" i="55"/>
  <c r="H105" i="55"/>
  <c r="H157" i="55"/>
  <c r="G48" i="55"/>
  <c r="G105" i="55"/>
  <c r="G157" i="55"/>
  <c r="G95" i="83"/>
  <c r="F34" i="84"/>
  <c r="F62" i="84"/>
  <c r="G75" i="81"/>
  <c r="F21" i="72"/>
  <c r="F45" i="72"/>
  <c r="G102" i="81"/>
  <c r="G19" i="53"/>
  <c r="G72" i="53"/>
  <c r="H131" i="53"/>
  <c r="H199" i="53"/>
  <c r="H202" i="53"/>
  <c r="H134" i="53"/>
  <c r="F81" i="81"/>
  <c r="E27" i="72"/>
  <c r="E51" i="72"/>
  <c r="G47" i="81"/>
  <c r="F16" i="55"/>
  <c r="F73" i="55"/>
  <c r="F125" i="55"/>
  <c r="G96" i="83"/>
  <c r="F35" i="84"/>
  <c r="F63" i="84"/>
  <c r="G47" i="83"/>
  <c r="F36" i="55"/>
  <c r="F93" i="55"/>
  <c r="F145" i="55"/>
  <c r="H15" i="53"/>
  <c r="H68" i="53"/>
  <c r="H98" i="81"/>
  <c r="I15" i="53"/>
  <c r="I68" i="53"/>
  <c r="E78" i="72"/>
  <c r="E79" i="72"/>
  <c r="H124" i="83"/>
  <c r="I55" i="53"/>
  <c r="I108" i="53"/>
  <c r="H55" i="53"/>
  <c r="H108" i="53"/>
  <c r="H135" i="53"/>
  <c r="H203" i="53"/>
  <c r="E45" i="84"/>
  <c r="E39" i="84"/>
  <c r="I163" i="53"/>
  <c r="I231" i="53"/>
  <c r="H122" i="83"/>
  <c r="I53" i="53"/>
  <c r="I106" i="53"/>
  <c r="H53" i="53"/>
  <c r="H106" i="53"/>
  <c r="I174" i="53"/>
  <c r="H198" i="53"/>
  <c r="H130" i="53"/>
  <c r="H126" i="83"/>
  <c r="I57" i="53"/>
  <c r="I110" i="53"/>
  <c r="H57" i="53"/>
  <c r="H110" i="53"/>
  <c r="D12" i="84"/>
  <c r="D42" i="84"/>
  <c r="G211" i="53"/>
  <c r="G143" i="53"/>
  <c r="G207" i="53"/>
  <c r="G139" i="53"/>
  <c r="E37" i="72"/>
  <c r="F116" i="53"/>
  <c r="F118" i="53"/>
  <c r="G106" i="81"/>
  <c r="G23" i="53"/>
  <c r="G76" i="53"/>
  <c r="G73" i="81"/>
  <c r="F19" i="72"/>
  <c r="F43" i="72"/>
  <c r="E55" i="61"/>
  <c r="B25" i="69"/>
  <c r="C12" i="68"/>
  <c r="G111" i="81"/>
  <c r="G28" i="53"/>
  <c r="G81" i="53"/>
  <c r="F82" i="81"/>
  <c r="E28" i="72"/>
  <c r="E52" i="72"/>
  <c r="H125" i="83"/>
  <c r="I56" i="53"/>
  <c r="I109" i="53"/>
  <c r="H56" i="53"/>
  <c r="H109" i="53"/>
  <c r="F59" i="81"/>
  <c r="E28" i="55"/>
  <c r="E85" i="55"/>
  <c r="E137" i="55"/>
  <c r="D32" i="72"/>
  <c r="F188" i="53"/>
  <c r="F187" i="53"/>
  <c r="F191" i="53"/>
  <c r="F252" i="53"/>
  <c r="D95" i="72"/>
  <c r="D96" i="72"/>
  <c r="H93" i="81"/>
  <c r="I10" i="53"/>
  <c r="I63" i="53"/>
  <c r="H10" i="53"/>
  <c r="H63" i="53"/>
  <c r="H96" i="81"/>
  <c r="I13" i="53"/>
  <c r="I66" i="53"/>
  <c r="H13" i="53"/>
  <c r="H66" i="53"/>
  <c r="G43" i="81"/>
  <c r="F12" i="55"/>
  <c r="F69" i="55"/>
  <c r="F121" i="55"/>
  <c r="G46" i="81"/>
  <c r="F15" i="55"/>
  <c r="F72" i="55"/>
  <c r="F124" i="55"/>
  <c r="G141" i="53"/>
  <c r="G209" i="53"/>
  <c r="E71" i="72"/>
  <c r="E70" i="72"/>
  <c r="F251" i="53"/>
  <c r="F254" i="53"/>
  <c r="F255" i="53"/>
  <c r="G48" i="61"/>
  <c r="G69" i="83"/>
  <c r="F58" i="55"/>
  <c r="F115" i="55"/>
  <c r="F167" i="55"/>
  <c r="G68" i="83"/>
  <c r="F57" i="55"/>
  <c r="F114" i="55"/>
  <c r="F166" i="55"/>
  <c r="G72" i="81"/>
  <c r="F18" i="72"/>
  <c r="F42" i="72"/>
  <c r="G74" i="81"/>
  <c r="F20" i="72"/>
  <c r="F44" i="72"/>
  <c r="H176" i="53"/>
  <c r="H241" i="53"/>
  <c r="F55" i="81"/>
  <c r="E24" i="55"/>
  <c r="E81" i="55"/>
  <c r="E133" i="55"/>
  <c r="H14" i="53"/>
  <c r="H67" i="53"/>
  <c r="H97" i="81"/>
  <c r="I14" i="53"/>
  <c r="I67" i="53"/>
  <c r="F53" i="81"/>
  <c r="E22" i="55"/>
  <c r="E79" i="55"/>
  <c r="E131" i="55"/>
  <c r="G75" i="83"/>
  <c r="F14" i="84"/>
  <c r="J231" i="53"/>
  <c r="J163" i="53"/>
  <c r="F54" i="81"/>
  <c r="E23" i="55"/>
  <c r="E80" i="55"/>
  <c r="E132" i="55"/>
  <c r="G6" i="61"/>
  <c r="E261" i="53"/>
  <c r="E263" i="53"/>
  <c r="G61" i="83"/>
  <c r="F50" i="55"/>
  <c r="F107" i="55"/>
  <c r="F159" i="55"/>
  <c r="F57" i="81"/>
  <c r="E26" i="55"/>
  <c r="E83" i="55"/>
  <c r="E135" i="55"/>
  <c r="F83" i="81"/>
  <c r="E29" i="72"/>
  <c r="E53" i="72"/>
  <c r="H92" i="81"/>
  <c r="I9" i="53"/>
  <c r="I62" i="53"/>
  <c r="H9" i="53"/>
  <c r="H62" i="53"/>
  <c r="E21" i="61"/>
  <c r="E42" i="61"/>
  <c r="B9" i="69"/>
  <c r="C32" i="68"/>
  <c r="D36" i="29"/>
  <c r="D159" i="29"/>
  <c r="D174" i="29"/>
  <c r="D129" i="29"/>
  <c r="D144" i="29"/>
  <c r="H205" i="53"/>
  <c r="H137" i="53"/>
  <c r="G92" i="83"/>
  <c r="G31" i="84"/>
  <c r="F31" i="84"/>
  <c r="G26" i="84"/>
  <c r="G57" i="84"/>
  <c r="H87" i="83"/>
  <c r="H26" i="84"/>
  <c r="H57" i="84"/>
  <c r="E165" i="84"/>
  <c r="E166" i="84"/>
  <c r="H243" i="53"/>
  <c r="H178" i="53"/>
  <c r="G105" i="81"/>
  <c r="G22" i="53"/>
  <c r="G75" i="53"/>
  <c r="G101" i="81"/>
  <c r="G18" i="53"/>
  <c r="G71" i="53"/>
  <c r="G98" i="83"/>
  <c r="F37" i="84"/>
  <c r="F65" i="84"/>
  <c r="G67" i="81"/>
  <c r="F13" i="72"/>
  <c r="G47" i="55"/>
  <c r="G104" i="55"/>
  <c r="G156" i="55"/>
  <c r="H58" i="83"/>
  <c r="H47" i="55"/>
  <c r="H104" i="55"/>
  <c r="H156" i="55"/>
  <c r="F119" i="53"/>
  <c r="F115" i="53"/>
  <c r="H223" i="53"/>
  <c r="H155" i="53"/>
  <c r="E92" i="55"/>
  <c r="E144" i="55"/>
  <c r="E61" i="55"/>
  <c r="G63" i="83"/>
  <c r="F52" i="55"/>
  <c r="F109" i="55"/>
  <c r="F161" i="55"/>
  <c r="G45" i="81"/>
  <c r="F14" i="55"/>
  <c r="F71" i="55"/>
  <c r="F123" i="55"/>
  <c r="G146" i="53"/>
  <c r="G214" i="53"/>
  <c r="H200" i="53"/>
  <c r="H132" i="53"/>
  <c r="E64" i="72"/>
  <c r="E63" i="72"/>
  <c r="G67" i="83"/>
  <c r="F56" i="55"/>
  <c r="F113" i="55"/>
  <c r="F165" i="55"/>
  <c r="H86" i="83"/>
  <c r="H25" i="84"/>
  <c r="H56" i="84"/>
  <c r="G25" i="84"/>
  <c r="G56" i="84"/>
  <c r="F77" i="81"/>
  <c r="E23" i="72"/>
  <c r="E47" i="72"/>
  <c r="G91" i="83"/>
  <c r="F30" i="84"/>
  <c r="F61" i="84"/>
  <c r="B15" i="85"/>
  <c r="H239" i="53"/>
  <c r="H171" i="53"/>
  <c r="D33" i="55"/>
  <c r="I166" i="53"/>
  <c r="I234" i="53"/>
  <c r="G145" i="53"/>
  <c r="G213" i="53"/>
  <c r="H222" i="53"/>
  <c r="H154" i="53"/>
  <c r="C12" i="72"/>
  <c r="C35" i="72"/>
  <c r="G61" i="81"/>
  <c r="F30" i="55"/>
  <c r="F87" i="55"/>
  <c r="F139" i="55"/>
  <c r="G48" i="83"/>
  <c r="F37" i="55"/>
  <c r="F94" i="55"/>
  <c r="F146" i="55"/>
  <c r="F76" i="81"/>
  <c r="E22" i="72"/>
  <c r="E46" i="72"/>
  <c r="F78" i="81"/>
  <c r="E24" i="72"/>
  <c r="E48" i="72"/>
  <c r="H121" i="83"/>
  <c r="I52" i="53"/>
  <c r="I105" i="53"/>
  <c r="H52" i="53"/>
  <c r="H105" i="53"/>
  <c r="J173" i="53"/>
  <c r="I173" i="53"/>
  <c r="G103" i="81"/>
  <c r="G20" i="53"/>
  <c r="G73" i="53"/>
  <c r="G70" i="81"/>
  <c r="F16" i="72"/>
  <c r="F40" i="72"/>
  <c r="F52" i="81"/>
  <c r="E21" i="55"/>
  <c r="E78" i="55"/>
  <c r="E130" i="55"/>
  <c r="I170" i="53"/>
  <c r="I238" i="53"/>
  <c r="G255" i="53"/>
  <c r="E33" i="55"/>
  <c r="E68" i="55"/>
  <c r="E120" i="55"/>
  <c r="H175" i="53"/>
  <c r="H240" i="53"/>
  <c r="G142" i="53"/>
  <c r="G210" i="53"/>
  <c r="H237" i="53"/>
  <c r="H169" i="53"/>
  <c r="I167" i="53"/>
  <c r="I235" i="53"/>
  <c r="B22" i="21"/>
  <c r="B22" i="85"/>
  <c r="D275" i="53"/>
  <c r="D277" i="53"/>
  <c r="C129" i="29"/>
  <c r="C132" i="29"/>
  <c r="C144" i="29"/>
  <c r="C147" i="29"/>
  <c r="C159" i="29"/>
  <c r="C162" i="29"/>
  <c r="C174" i="29"/>
  <c r="C177" i="29"/>
  <c r="C36" i="29"/>
  <c r="C39" i="29"/>
  <c r="C197" i="85"/>
  <c r="C200" i="85"/>
  <c r="C15" i="85"/>
  <c r="G181" i="72"/>
  <c r="G183" i="72"/>
  <c r="J191" i="55"/>
  <c r="K37" i="61"/>
  <c r="J37" i="61"/>
  <c r="H170" i="29"/>
  <c r="H140" i="29"/>
  <c r="H32" i="29"/>
  <c r="H125" i="29"/>
  <c r="D18" i="85"/>
  <c r="D18" i="21"/>
  <c r="F222" i="55"/>
  <c r="F225" i="55"/>
  <c r="H214" i="55"/>
  <c r="F18" i="21"/>
  <c r="C18" i="85"/>
  <c r="C18" i="21"/>
  <c r="E222" i="55"/>
  <c r="E225" i="55"/>
  <c r="G140" i="29"/>
  <c r="G155" i="29"/>
  <c r="G32" i="29"/>
  <c r="G170" i="29"/>
  <c r="G125" i="29"/>
  <c r="G33" i="29"/>
  <c r="G171" i="29"/>
  <c r="G156" i="29"/>
  <c r="G141" i="29"/>
  <c r="G126" i="29"/>
  <c r="K7" i="61"/>
  <c r="I212" i="55"/>
  <c r="F193" i="85"/>
  <c r="H171" i="29"/>
  <c r="H141" i="29"/>
  <c r="H33" i="29"/>
  <c r="H156" i="29"/>
  <c r="H126" i="29"/>
  <c r="E18" i="85"/>
  <c r="G222" i="55"/>
  <c r="G225" i="55"/>
  <c r="E18" i="21"/>
  <c r="R209" i="55"/>
  <c r="K16" i="61"/>
  <c r="K50" i="61"/>
  <c r="J8" i="61"/>
  <c r="I170" i="72"/>
  <c r="I173" i="72"/>
  <c r="H171" i="72"/>
  <c r="H173" i="72"/>
  <c r="I211" i="55"/>
  <c r="L46" i="22"/>
  <c r="L68" i="22"/>
  <c r="O40" i="22"/>
  <c r="O41" i="22"/>
  <c r="P38" i="22"/>
  <c r="P39" i="22"/>
  <c r="P41" i="22"/>
  <c r="Q38" i="22"/>
  <c r="M53" i="22"/>
  <c r="N50" i="22"/>
  <c r="E47" i="22"/>
  <c r="E66" i="22"/>
  <c r="D13" i="69"/>
  <c r="D15" i="69"/>
  <c r="C98" i="22"/>
  <c r="C59" i="85"/>
  <c r="M65" i="22"/>
  <c r="N62" i="22"/>
  <c r="F46" i="22"/>
  <c r="E68" i="22"/>
  <c r="H50" i="22"/>
  <c r="L47" i="22"/>
  <c r="O57" i="22"/>
  <c r="O58" i="22"/>
  <c r="C22" i="21"/>
  <c r="E275" i="53"/>
  <c r="E277" i="53"/>
  <c r="C22" i="85"/>
  <c r="G35" i="61"/>
  <c r="D12" i="85"/>
  <c r="D12" i="21"/>
  <c r="C9" i="69"/>
  <c r="D32" i="68"/>
  <c r="E10" i="55"/>
  <c r="E65" i="55"/>
  <c r="H209" i="53"/>
  <c r="H141" i="53"/>
  <c r="D10" i="55"/>
  <c r="D65" i="55"/>
  <c r="G56" i="55"/>
  <c r="G113" i="55"/>
  <c r="G165" i="55"/>
  <c r="H67" i="83"/>
  <c r="H56" i="55"/>
  <c r="H113" i="55"/>
  <c r="H165" i="55"/>
  <c r="H45" i="81"/>
  <c r="H14" i="55"/>
  <c r="H71" i="55"/>
  <c r="H123" i="55"/>
  <c r="G14" i="55"/>
  <c r="G71" i="55"/>
  <c r="G123" i="55"/>
  <c r="G188" i="53"/>
  <c r="G182" i="53"/>
  <c r="G183" i="53"/>
  <c r="G184" i="53"/>
  <c r="G187" i="53"/>
  <c r="G191" i="53"/>
  <c r="G252" i="53"/>
  <c r="G13" i="72"/>
  <c r="H67" i="81"/>
  <c r="H13" i="72"/>
  <c r="H101" i="81"/>
  <c r="I18" i="53"/>
  <c r="I71" i="53"/>
  <c r="H18" i="53"/>
  <c r="H71" i="53"/>
  <c r="I198" i="53"/>
  <c r="I130" i="53"/>
  <c r="G54" i="81"/>
  <c r="F23" i="55"/>
  <c r="F80" i="55"/>
  <c r="F132" i="55"/>
  <c r="H75" i="83"/>
  <c r="H14" i="84"/>
  <c r="G14" i="84"/>
  <c r="I135" i="53"/>
  <c r="I203" i="53"/>
  <c r="H72" i="81"/>
  <c r="H18" i="72"/>
  <c r="H42" i="72"/>
  <c r="G18" i="72"/>
  <c r="G42" i="72"/>
  <c r="G58" i="55"/>
  <c r="G115" i="55"/>
  <c r="G167" i="55"/>
  <c r="H69" i="83"/>
  <c r="H58" i="55"/>
  <c r="H115" i="55"/>
  <c r="H167" i="55"/>
  <c r="I202" i="53"/>
  <c r="I134" i="53"/>
  <c r="D12" i="72"/>
  <c r="D35" i="72"/>
  <c r="J177" i="53"/>
  <c r="J242" i="53"/>
  <c r="H111" i="81"/>
  <c r="I28" i="53"/>
  <c r="I81" i="53"/>
  <c r="H28" i="53"/>
  <c r="H81" i="53"/>
  <c r="H144" i="53"/>
  <c r="H212" i="53"/>
  <c r="E32" i="72"/>
  <c r="I178" i="53"/>
  <c r="I243" i="53"/>
  <c r="G114" i="53"/>
  <c r="G115" i="53"/>
  <c r="G36" i="55"/>
  <c r="G93" i="55"/>
  <c r="G145" i="55"/>
  <c r="H47" i="83"/>
  <c r="H36" i="55"/>
  <c r="H93" i="55"/>
  <c r="H145" i="55"/>
  <c r="H47" i="81"/>
  <c r="H16" i="55"/>
  <c r="H73" i="55"/>
  <c r="H125" i="55"/>
  <c r="G16" i="55"/>
  <c r="G73" i="55"/>
  <c r="G125" i="55"/>
  <c r="G21" i="72"/>
  <c r="G45" i="72"/>
  <c r="H75" i="81"/>
  <c r="H21" i="72"/>
  <c r="H45" i="72"/>
  <c r="H29" i="53"/>
  <c r="H82" i="53"/>
  <c r="H112" i="81"/>
  <c r="I29" i="53"/>
  <c r="I82" i="53"/>
  <c r="H110" i="81"/>
  <c r="I27" i="53"/>
  <c r="I80" i="53"/>
  <c r="H27" i="53"/>
  <c r="H80" i="53"/>
  <c r="J205" i="53"/>
  <c r="J137" i="53"/>
  <c r="G58" i="81"/>
  <c r="F27" i="55"/>
  <c r="F84" i="55"/>
  <c r="F136" i="55"/>
  <c r="I169" i="53"/>
  <c r="I237" i="53"/>
  <c r="H104" i="81"/>
  <c r="I21" i="53"/>
  <c r="I74" i="53"/>
  <c r="H21" i="53"/>
  <c r="H74" i="53"/>
  <c r="F68" i="55"/>
  <c r="F120" i="55"/>
  <c r="H213" i="53"/>
  <c r="H145" i="53"/>
  <c r="J239" i="53"/>
  <c r="J171" i="53"/>
  <c r="H68" i="81"/>
  <c r="H14" i="72"/>
  <c r="H38" i="72"/>
  <c r="G14" i="72"/>
  <c r="G38" i="72"/>
  <c r="I200" i="53"/>
  <c r="I132" i="53"/>
  <c r="J223" i="53"/>
  <c r="J155" i="53"/>
  <c r="G62" i="81"/>
  <c r="F31" i="55"/>
  <c r="F88" i="55"/>
  <c r="F140" i="55"/>
  <c r="E174" i="84"/>
  <c r="F12" i="61"/>
  <c r="G15" i="61"/>
  <c r="G52" i="81"/>
  <c r="F21" i="55"/>
  <c r="F78" i="55"/>
  <c r="F130" i="55"/>
  <c r="H103" i="81"/>
  <c r="I20" i="53"/>
  <c r="I73" i="53"/>
  <c r="H20" i="53"/>
  <c r="H73" i="53"/>
  <c r="G78" i="81"/>
  <c r="F24" i="72"/>
  <c r="F48" i="72"/>
  <c r="G37" i="55"/>
  <c r="G94" i="55"/>
  <c r="G146" i="55"/>
  <c r="H48" i="83"/>
  <c r="H37" i="55"/>
  <c r="H94" i="55"/>
  <c r="H146" i="55"/>
  <c r="H91" i="83"/>
  <c r="H30" i="84"/>
  <c r="H61" i="84"/>
  <c r="G30" i="84"/>
  <c r="G61" i="84"/>
  <c r="H211" i="53"/>
  <c r="H143" i="53"/>
  <c r="J198" i="53"/>
  <c r="J130" i="53"/>
  <c r="G57" i="81"/>
  <c r="F26" i="55"/>
  <c r="F83" i="55"/>
  <c r="F135" i="55"/>
  <c r="G15" i="55"/>
  <c r="G72" i="55"/>
  <c r="G124" i="55"/>
  <c r="H46" i="81"/>
  <c r="H15" i="55"/>
  <c r="H72" i="55"/>
  <c r="H124" i="55"/>
  <c r="J202" i="53"/>
  <c r="J134" i="53"/>
  <c r="H106" i="81"/>
  <c r="I23" i="53"/>
  <c r="I76" i="53"/>
  <c r="H23" i="53"/>
  <c r="H76" i="53"/>
  <c r="J178" i="53"/>
  <c r="J243" i="53"/>
  <c r="G119" i="53"/>
  <c r="E12" i="84"/>
  <c r="E42" i="84"/>
  <c r="I241" i="53"/>
  <c r="I176" i="53"/>
  <c r="J204" i="53"/>
  <c r="J136" i="53"/>
  <c r="H140" i="53"/>
  <c r="H208" i="53"/>
  <c r="H163" i="84"/>
  <c r="F124" i="84"/>
  <c r="F141" i="84"/>
  <c r="F126" i="84"/>
  <c r="F143" i="84"/>
  <c r="H156" i="84"/>
  <c r="H164" i="84"/>
  <c r="F125" i="84"/>
  <c r="F142" i="84"/>
  <c r="H155" i="84"/>
  <c r="H167" i="84"/>
  <c r="D175" i="29"/>
  <c r="D177" i="29"/>
  <c r="D130" i="29"/>
  <c r="D132" i="29"/>
  <c r="D160" i="29"/>
  <c r="D162" i="29"/>
  <c r="D37" i="29"/>
  <c r="D39" i="29"/>
  <c r="D145" i="29"/>
  <c r="D147" i="29"/>
  <c r="C15" i="21"/>
  <c r="D6" i="68"/>
  <c r="H97" i="83"/>
  <c r="H36" i="84"/>
  <c r="H64" i="84"/>
  <c r="G36" i="84"/>
  <c r="G64" i="84"/>
  <c r="G85" i="81"/>
  <c r="F31" i="72"/>
  <c r="F55" i="72"/>
  <c r="I201" i="53"/>
  <c r="I133" i="53"/>
  <c r="G15" i="84"/>
  <c r="G46" i="84"/>
  <c r="H76" i="83"/>
  <c r="H15" i="84"/>
  <c r="H46" i="84"/>
  <c r="G51" i="81"/>
  <c r="F20" i="55"/>
  <c r="F77" i="55"/>
  <c r="F129" i="55"/>
  <c r="J237" i="53"/>
  <c r="J169" i="53"/>
  <c r="G19" i="55"/>
  <c r="G76" i="55"/>
  <c r="G128" i="55"/>
  <c r="H50" i="81"/>
  <c r="H19" i="55"/>
  <c r="H76" i="55"/>
  <c r="H128" i="55"/>
  <c r="H210" i="53"/>
  <c r="H142" i="53"/>
  <c r="G60" i="81"/>
  <c r="F29" i="55"/>
  <c r="F86" i="55"/>
  <c r="F138" i="55"/>
  <c r="G11" i="55"/>
  <c r="H42" i="81"/>
  <c r="H11" i="55"/>
  <c r="I154" i="53"/>
  <c r="I222" i="53"/>
  <c r="H214" i="53"/>
  <c r="H146" i="53"/>
  <c r="F92" i="55"/>
  <c r="F144" i="55"/>
  <c r="F61" i="55"/>
  <c r="G246" i="53"/>
  <c r="G247" i="53"/>
  <c r="G248" i="53"/>
  <c r="G251" i="53"/>
  <c r="G254" i="53"/>
  <c r="H48" i="61"/>
  <c r="D186" i="84"/>
  <c r="D188" i="84"/>
  <c r="B23" i="21"/>
  <c r="B25" i="21"/>
  <c r="B23" i="85"/>
  <c r="B25" i="85"/>
  <c r="F71" i="72"/>
  <c r="F70" i="72"/>
  <c r="E95" i="72"/>
  <c r="E96" i="72"/>
  <c r="G52" i="55"/>
  <c r="G109" i="55"/>
  <c r="G161" i="55"/>
  <c r="H63" i="83"/>
  <c r="H52" i="55"/>
  <c r="H109" i="55"/>
  <c r="H161" i="55"/>
  <c r="G37" i="84"/>
  <c r="G65" i="84"/>
  <c r="H98" i="83"/>
  <c r="H37" i="84"/>
  <c r="H65" i="84"/>
  <c r="H105" i="81"/>
  <c r="I22" i="53"/>
  <c r="I75" i="53"/>
  <c r="H22" i="53"/>
  <c r="H75" i="53"/>
  <c r="F18" i="61"/>
  <c r="F53" i="61"/>
  <c r="F55" i="61"/>
  <c r="C25" i="69"/>
  <c r="D12" i="68"/>
  <c r="F260" i="53"/>
  <c r="G53" i="81"/>
  <c r="F22" i="55"/>
  <c r="F79" i="55"/>
  <c r="F131" i="55"/>
  <c r="G55" i="81"/>
  <c r="F24" i="55"/>
  <c r="F81" i="55"/>
  <c r="F133" i="55"/>
  <c r="G20" i="72"/>
  <c r="G44" i="72"/>
  <c r="H74" i="81"/>
  <c r="H20" i="72"/>
  <c r="H44" i="72"/>
  <c r="H68" i="83"/>
  <c r="H57" i="55"/>
  <c r="H114" i="55"/>
  <c r="H166" i="55"/>
  <c r="G57" i="55"/>
  <c r="G114" i="55"/>
  <c r="G166" i="55"/>
  <c r="I199" i="53"/>
  <c r="I131" i="53"/>
  <c r="G59" i="81"/>
  <c r="F28" i="55"/>
  <c r="F85" i="55"/>
  <c r="F137" i="55"/>
  <c r="G82" i="81"/>
  <c r="F28" i="72"/>
  <c r="F52" i="72"/>
  <c r="J174" i="53"/>
  <c r="J241" i="53"/>
  <c r="J176" i="53"/>
  <c r="I204" i="53"/>
  <c r="I136" i="53"/>
  <c r="H96" i="83"/>
  <c r="H35" i="84"/>
  <c r="H63" i="84"/>
  <c r="G35" i="84"/>
  <c r="G63" i="84"/>
  <c r="G81" i="81"/>
  <c r="F27" i="72"/>
  <c r="F51" i="72"/>
  <c r="H102" i="81"/>
  <c r="I19" i="53"/>
  <c r="I72" i="53"/>
  <c r="H107" i="81"/>
  <c r="I24" i="53"/>
  <c r="I77" i="53"/>
  <c r="H108" i="81"/>
  <c r="I25" i="53"/>
  <c r="I78" i="53"/>
  <c r="I115" i="53"/>
  <c r="H19" i="53"/>
  <c r="H72" i="53"/>
  <c r="G34" i="84"/>
  <c r="G62" i="84"/>
  <c r="H95" i="83"/>
  <c r="H34" i="84"/>
  <c r="H62" i="84"/>
  <c r="I224" i="53"/>
  <c r="I156" i="53"/>
  <c r="J201" i="53"/>
  <c r="J133" i="53"/>
  <c r="H89" i="83"/>
  <c r="H28" i="84"/>
  <c r="H59" i="84"/>
  <c r="G28" i="84"/>
  <c r="G59" i="84"/>
  <c r="F26" i="72"/>
  <c r="F50" i="72"/>
  <c r="G80" i="81"/>
  <c r="H71" i="81"/>
  <c r="H17" i="72"/>
  <c r="H41" i="72"/>
  <c r="G17" i="72"/>
  <c r="G41" i="72"/>
  <c r="I240" i="53"/>
  <c r="I175" i="53"/>
  <c r="D13" i="85"/>
  <c r="D198" i="85"/>
  <c r="D13" i="21"/>
  <c r="G40" i="61"/>
  <c r="J222" i="53"/>
  <c r="J154" i="53"/>
  <c r="G56" i="81"/>
  <c r="F25" i="55"/>
  <c r="F82" i="55"/>
  <c r="F134" i="55"/>
  <c r="H25" i="53"/>
  <c r="H78" i="53"/>
  <c r="G35" i="55"/>
  <c r="H46" i="83"/>
  <c r="H35" i="55"/>
  <c r="G59" i="55"/>
  <c r="G116" i="55"/>
  <c r="G168" i="55"/>
  <c r="H70" i="83"/>
  <c r="H59" i="55"/>
  <c r="H116" i="55"/>
  <c r="H168" i="55"/>
  <c r="G16" i="72"/>
  <c r="G40" i="72"/>
  <c r="H70" i="81"/>
  <c r="H16" i="72"/>
  <c r="H40" i="72"/>
  <c r="G76" i="81"/>
  <c r="F22" i="72"/>
  <c r="F46" i="72"/>
  <c r="H61" i="81"/>
  <c r="H30" i="55"/>
  <c r="H87" i="55"/>
  <c r="H139" i="55"/>
  <c r="G30" i="55"/>
  <c r="G87" i="55"/>
  <c r="G139" i="55"/>
  <c r="G77" i="81"/>
  <c r="F23" i="72"/>
  <c r="F47" i="72"/>
  <c r="F37" i="72"/>
  <c r="H207" i="53"/>
  <c r="H139" i="53"/>
  <c r="B10" i="69"/>
  <c r="C33" i="68"/>
  <c r="E43" i="61"/>
  <c r="E45" i="61"/>
  <c r="E56" i="61"/>
  <c r="G83" i="81"/>
  <c r="F29" i="72"/>
  <c r="F53" i="72"/>
  <c r="G50" i="55"/>
  <c r="G107" i="55"/>
  <c r="G159" i="55"/>
  <c r="H61" i="83"/>
  <c r="H50" i="55"/>
  <c r="H107" i="55"/>
  <c r="H159" i="55"/>
  <c r="F45" i="84"/>
  <c r="F39" i="84"/>
  <c r="J203" i="53"/>
  <c r="J135" i="53"/>
  <c r="F78" i="72"/>
  <c r="F79" i="72"/>
  <c r="H43" i="81"/>
  <c r="H12" i="55"/>
  <c r="H69" i="55"/>
  <c r="H121" i="55"/>
  <c r="G12" i="55"/>
  <c r="G69" i="55"/>
  <c r="G121" i="55"/>
  <c r="J199" i="53"/>
  <c r="J131" i="53"/>
  <c r="I177" i="53"/>
  <c r="I242" i="53"/>
  <c r="H149" i="53"/>
  <c r="H217" i="53"/>
  <c r="H73" i="81"/>
  <c r="H19" i="72"/>
  <c r="H43" i="72"/>
  <c r="G19" i="72"/>
  <c r="G43" i="72"/>
  <c r="F165" i="84"/>
  <c r="F166" i="84"/>
  <c r="G18" i="61"/>
  <c r="G116" i="53"/>
  <c r="G118" i="53"/>
  <c r="J224" i="53"/>
  <c r="J156" i="53"/>
  <c r="H218" i="53"/>
  <c r="H150" i="53"/>
  <c r="H216" i="53"/>
  <c r="H148" i="53"/>
  <c r="I205" i="53"/>
  <c r="I137" i="53"/>
  <c r="G79" i="81"/>
  <c r="F25" i="72"/>
  <c r="F49" i="72"/>
  <c r="H49" i="81"/>
  <c r="H18" i="55"/>
  <c r="H75" i="55"/>
  <c r="H127" i="55"/>
  <c r="G18" i="55"/>
  <c r="G75" i="55"/>
  <c r="G127" i="55"/>
  <c r="G84" i="81"/>
  <c r="F30" i="72"/>
  <c r="F54" i="72"/>
  <c r="H48" i="81"/>
  <c r="H17" i="55"/>
  <c r="H74" i="55"/>
  <c r="H126" i="55"/>
  <c r="G17" i="55"/>
  <c r="G74" i="55"/>
  <c r="G126" i="55"/>
  <c r="G15" i="72"/>
  <c r="G39" i="72"/>
  <c r="H69" i="81"/>
  <c r="H15" i="72"/>
  <c r="H39" i="72"/>
  <c r="J175" i="53"/>
  <c r="J240" i="53"/>
  <c r="G13" i="55"/>
  <c r="G70" i="55"/>
  <c r="G122" i="55"/>
  <c r="H44" i="81"/>
  <c r="H13" i="55"/>
  <c r="H70" i="55"/>
  <c r="H122" i="55"/>
  <c r="H24" i="53"/>
  <c r="H77" i="53"/>
  <c r="I171" i="53"/>
  <c r="I239" i="53"/>
  <c r="G154" i="84"/>
  <c r="G159" i="84"/>
  <c r="G168" i="84"/>
  <c r="G169" i="84"/>
  <c r="F64" i="72"/>
  <c r="F63" i="72"/>
  <c r="J200" i="53"/>
  <c r="J132" i="53"/>
  <c r="I155" i="53"/>
  <c r="I223" i="53"/>
  <c r="H8" i="21"/>
  <c r="I32" i="29"/>
  <c r="H8" i="85"/>
  <c r="I155" i="29"/>
  <c r="H222" i="55"/>
  <c r="H225" i="55"/>
  <c r="F18" i="85"/>
  <c r="I214" i="55"/>
  <c r="F19" i="85"/>
  <c r="F19" i="21"/>
  <c r="H181" i="72"/>
  <c r="H183" i="72"/>
  <c r="G19" i="85"/>
  <c r="I181" i="72"/>
  <c r="I183" i="72"/>
  <c r="G19" i="21"/>
  <c r="J211" i="55"/>
  <c r="J212" i="55"/>
  <c r="O59" i="22"/>
  <c r="P56" i="22"/>
  <c r="P57" i="22"/>
  <c r="P59" i="22"/>
  <c r="Q56" i="22"/>
  <c r="P40" i="22"/>
  <c r="N51" i="22"/>
  <c r="N52" i="22"/>
  <c r="H53" i="22"/>
  <c r="N63" i="22"/>
  <c r="N64" i="22"/>
  <c r="Q39" i="22"/>
  <c r="M44" i="22"/>
  <c r="L69" i="22"/>
  <c r="G46" i="22"/>
  <c r="F68" i="22"/>
  <c r="F44" i="22"/>
  <c r="E69" i="22"/>
  <c r="J247" i="53"/>
  <c r="C135" i="29"/>
  <c r="C136" i="29"/>
  <c r="C137" i="29"/>
  <c r="C165" i="29"/>
  <c r="C166" i="29"/>
  <c r="C167" i="29"/>
  <c r="J25" i="21"/>
  <c r="C150" i="29"/>
  <c r="C151" i="29"/>
  <c r="C152" i="29"/>
  <c r="C41" i="29"/>
  <c r="C43" i="29"/>
  <c r="C47" i="29"/>
  <c r="C23" i="68"/>
  <c r="B38" i="21"/>
  <c r="B40" i="21"/>
  <c r="C180" i="29"/>
  <c r="C181" i="29"/>
  <c r="C182" i="29"/>
  <c r="E13" i="85"/>
  <c r="E198" i="85"/>
  <c r="E13" i="21"/>
  <c r="H40" i="61"/>
  <c r="B38" i="85"/>
  <c r="B40" i="85"/>
  <c r="B202" i="85"/>
  <c r="B204" i="85"/>
  <c r="B208" i="85"/>
  <c r="H35" i="61"/>
  <c r="H42" i="61"/>
  <c r="E9" i="69"/>
  <c r="E12" i="21"/>
  <c r="E12" i="85"/>
  <c r="I213" i="53"/>
  <c r="I145" i="53"/>
  <c r="H187" i="53"/>
  <c r="H251" i="53"/>
  <c r="E57" i="61"/>
  <c r="F32" i="72"/>
  <c r="F95" i="72"/>
  <c r="F96" i="72"/>
  <c r="J214" i="53"/>
  <c r="J146" i="53"/>
  <c r="E37" i="29"/>
  <c r="E175" i="29"/>
  <c r="E145" i="29"/>
  <c r="E160" i="29"/>
  <c r="E130" i="29"/>
  <c r="I208" i="53"/>
  <c r="I140" i="53"/>
  <c r="I211" i="53"/>
  <c r="I143" i="53"/>
  <c r="G68" i="55"/>
  <c r="G120" i="55"/>
  <c r="H85" i="81"/>
  <c r="H31" i="72"/>
  <c r="H55" i="72"/>
  <c r="G31" i="72"/>
  <c r="G55" i="72"/>
  <c r="H252" i="53"/>
  <c r="H188" i="53"/>
  <c r="H182" i="53"/>
  <c r="H183" i="53"/>
  <c r="H184" i="53"/>
  <c r="H191" i="53"/>
  <c r="J212" i="53"/>
  <c r="J144" i="53"/>
  <c r="J218" i="53"/>
  <c r="J150" i="53"/>
  <c r="I217" i="53"/>
  <c r="I149" i="53"/>
  <c r="H114" i="53"/>
  <c r="G37" i="72"/>
  <c r="J213" i="53"/>
  <c r="J145" i="53"/>
  <c r="H248" i="53"/>
  <c r="G23" i="72"/>
  <c r="G47" i="72"/>
  <c r="H77" i="81"/>
  <c r="H23" i="72"/>
  <c r="H47" i="72"/>
  <c r="G22" i="72"/>
  <c r="G46" i="72"/>
  <c r="H76" i="81"/>
  <c r="H22" i="72"/>
  <c r="H46" i="72"/>
  <c r="H92" i="55"/>
  <c r="H144" i="55"/>
  <c r="H61" i="55"/>
  <c r="J208" i="53"/>
  <c r="J140" i="53"/>
  <c r="G28" i="72"/>
  <c r="G52" i="72"/>
  <c r="H82" i="81"/>
  <c r="H28" i="72"/>
  <c r="H52" i="72"/>
  <c r="H55" i="81"/>
  <c r="H24" i="55"/>
  <c r="H81" i="55"/>
  <c r="H133" i="55"/>
  <c r="G24" i="55"/>
  <c r="G81" i="55"/>
  <c r="G133" i="55"/>
  <c r="F261" i="53"/>
  <c r="F263" i="53"/>
  <c r="J211" i="53"/>
  <c r="J143" i="53"/>
  <c r="H154" i="84"/>
  <c r="H169" i="84"/>
  <c r="H168" i="84"/>
  <c r="H255" i="53"/>
  <c r="I116" i="53"/>
  <c r="G24" i="72"/>
  <c r="G48" i="72"/>
  <c r="H78" i="81"/>
  <c r="H24" i="72"/>
  <c r="H48" i="72"/>
  <c r="H52" i="81"/>
  <c r="H21" i="55"/>
  <c r="H78" i="55"/>
  <c r="H130" i="55"/>
  <c r="G21" i="55"/>
  <c r="G78" i="55"/>
  <c r="G130" i="55"/>
  <c r="H6" i="61"/>
  <c r="G21" i="61"/>
  <c r="G31" i="55"/>
  <c r="G88" i="55"/>
  <c r="G140" i="55"/>
  <c r="H62" i="81"/>
  <c r="H31" i="55"/>
  <c r="H88" i="55"/>
  <c r="H140" i="55"/>
  <c r="F33" i="55"/>
  <c r="I150" i="53"/>
  <c r="I218" i="53"/>
  <c r="H247" i="53"/>
  <c r="E12" i="72"/>
  <c r="E35" i="72"/>
  <c r="J217" i="53"/>
  <c r="J149" i="53"/>
  <c r="G23" i="55"/>
  <c r="G80" i="55"/>
  <c r="G132" i="55"/>
  <c r="H54" i="81"/>
  <c r="H23" i="55"/>
  <c r="H80" i="55"/>
  <c r="H132" i="55"/>
  <c r="I207" i="53"/>
  <c r="I139" i="53"/>
  <c r="E174" i="29"/>
  <c r="E177" i="29"/>
  <c r="E129" i="29"/>
  <c r="E132" i="29"/>
  <c r="E36" i="29"/>
  <c r="E39" i="29"/>
  <c r="E144" i="29"/>
  <c r="E147" i="29"/>
  <c r="E159" i="29"/>
  <c r="E162" i="29"/>
  <c r="D15" i="21"/>
  <c r="H9" i="61"/>
  <c r="G174" i="84"/>
  <c r="F175" i="84"/>
  <c r="F12" i="84"/>
  <c r="F42" i="84"/>
  <c r="H70" i="72"/>
  <c r="H71" i="72"/>
  <c r="G92" i="55"/>
  <c r="G144" i="55"/>
  <c r="G61" i="55"/>
  <c r="H56" i="81"/>
  <c r="H25" i="55"/>
  <c r="H82" i="55"/>
  <c r="H134" i="55"/>
  <c r="G25" i="55"/>
  <c r="G82" i="55"/>
  <c r="G134" i="55"/>
  <c r="H80" i="81"/>
  <c r="H26" i="72"/>
  <c r="H50" i="72"/>
  <c r="G26" i="72"/>
  <c r="G50" i="72"/>
  <c r="J163" i="84"/>
  <c r="H124" i="84"/>
  <c r="H141" i="84"/>
  <c r="H126" i="84"/>
  <c r="H143" i="84"/>
  <c r="J164" i="84"/>
  <c r="H125" i="84"/>
  <c r="H142" i="84"/>
  <c r="G125" i="84"/>
  <c r="G142" i="84"/>
  <c r="J155" i="84"/>
  <c r="J167" i="84"/>
  <c r="G29" i="55"/>
  <c r="G86" i="55"/>
  <c r="G138" i="55"/>
  <c r="H60" i="81"/>
  <c r="H29" i="55"/>
  <c r="H86" i="55"/>
  <c r="H138" i="55"/>
  <c r="H51" i="81"/>
  <c r="H20" i="55"/>
  <c r="H77" i="55"/>
  <c r="H129" i="55"/>
  <c r="G20" i="55"/>
  <c r="G77" i="55"/>
  <c r="G129" i="55"/>
  <c r="H159" i="84"/>
  <c r="H57" i="81"/>
  <c r="H26" i="55"/>
  <c r="H83" i="55"/>
  <c r="H135" i="55"/>
  <c r="G26" i="55"/>
  <c r="G83" i="55"/>
  <c r="G135" i="55"/>
  <c r="I114" i="53"/>
  <c r="I118" i="53"/>
  <c r="I119" i="53"/>
  <c r="J255" i="53"/>
  <c r="I209" i="53"/>
  <c r="I141" i="53"/>
  <c r="G63" i="72"/>
  <c r="G64" i="72"/>
  <c r="I210" i="53"/>
  <c r="I142" i="53"/>
  <c r="I216" i="53"/>
  <c r="I148" i="53"/>
  <c r="H15" i="61"/>
  <c r="H246" i="53"/>
  <c r="H254" i="53"/>
  <c r="I15" i="61"/>
  <c r="G78" i="72"/>
  <c r="G79" i="72"/>
  <c r="G45" i="84"/>
  <c r="G39" i="84"/>
  <c r="H119" i="53"/>
  <c r="H118" i="53"/>
  <c r="H115" i="53"/>
  <c r="H116" i="53"/>
  <c r="I254" i="53"/>
  <c r="J207" i="53"/>
  <c r="J139" i="53"/>
  <c r="D197" i="85"/>
  <c r="D200" i="85"/>
  <c r="D15" i="85"/>
  <c r="H84" i="81"/>
  <c r="H30" i="72"/>
  <c r="H54" i="72"/>
  <c r="G30" i="72"/>
  <c r="G54" i="72"/>
  <c r="H79" i="81"/>
  <c r="H25" i="72"/>
  <c r="H49" i="72"/>
  <c r="G25" i="72"/>
  <c r="G49" i="72"/>
  <c r="G53" i="61"/>
  <c r="G55" i="61"/>
  <c r="D25" i="69"/>
  <c r="E12" i="68"/>
  <c r="G29" i="72"/>
  <c r="G53" i="72"/>
  <c r="H83" i="81"/>
  <c r="H29" i="72"/>
  <c r="H53" i="72"/>
  <c r="G70" i="72"/>
  <c r="G71" i="72"/>
  <c r="I146" i="53"/>
  <c r="I214" i="53"/>
  <c r="I164" i="84"/>
  <c r="I167" i="84"/>
  <c r="G126" i="84"/>
  <c r="G143" i="84"/>
  <c r="I156" i="84"/>
  <c r="G124" i="84"/>
  <c r="G141" i="84"/>
  <c r="I163" i="84"/>
  <c r="I155" i="84"/>
  <c r="G27" i="72"/>
  <c r="G51" i="72"/>
  <c r="H81" i="81"/>
  <c r="H27" i="72"/>
  <c r="H51" i="72"/>
  <c r="H59" i="81"/>
  <c r="H28" i="55"/>
  <c r="H85" i="55"/>
  <c r="H137" i="55"/>
  <c r="G28" i="55"/>
  <c r="G85" i="55"/>
  <c r="G137" i="55"/>
  <c r="H53" i="81"/>
  <c r="H22" i="55"/>
  <c r="H79" i="55"/>
  <c r="H131" i="55"/>
  <c r="G22" i="55"/>
  <c r="G79" i="55"/>
  <c r="G131" i="55"/>
  <c r="E175" i="84"/>
  <c r="E177" i="84"/>
  <c r="G9" i="61"/>
  <c r="F21" i="61"/>
  <c r="H58" i="81"/>
  <c r="H27" i="55"/>
  <c r="H33" i="55"/>
  <c r="H68" i="55"/>
  <c r="H120" i="55"/>
  <c r="G165" i="84"/>
  <c r="G166" i="84"/>
  <c r="I144" i="53"/>
  <c r="I212" i="53"/>
  <c r="J209" i="53"/>
  <c r="J141" i="53"/>
  <c r="H64" i="72"/>
  <c r="H63" i="72"/>
  <c r="J210" i="53"/>
  <c r="J142" i="53"/>
  <c r="G27" i="55"/>
  <c r="G84" i="55"/>
  <c r="G136" i="55"/>
  <c r="H84" i="55"/>
  <c r="H136" i="55"/>
  <c r="J216" i="53"/>
  <c r="J148" i="53"/>
  <c r="H78" i="72"/>
  <c r="H79" i="72"/>
  <c r="H45" i="84"/>
  <c r="H39" i="84"/>
  <c r="H37" i="72"/>
  <c r="G42" i="61"/>
  <c r="D9" i="69"/>
  <c r="E32" i="68"/>
  <c r="I140" i="29"/>
  <c r="I125" i="29"/>
  <c r="I170" i="29"/>
  <c r="H193" i="85"/>
  <c r="I222" i="55"/>
  <c r="I225" i="55"/>
  <c r="G18" i="85"/>
  <c r="G18" i="21"/>
  <c r="J214" i="55"/>
  <c r="Q40" i="22"/>
  <c r="Q41" i="22"/>
  <c r="N53" i="22"/>
  <c r="O50" i="22"/>
  <c r="O51" i="22"/>
  <c r="O52" i="22"/>
  <c r="N65" i="22"/>
  <c r="O62" i="22"/>
  <c r="O63" i="22"/>
  <c r="O64" i="22"/>
  <c r="Q57" i="22"/>
  <c r="Q59" i="22"/>
  <c r="M45" i="22"/>
  <c r="M66" i="22"/>
  <c r="I50" i="22"/>
  <c r="P58" i="22"/>
  <c r="F47" i="22"/>
  <c r="F66" i="22"/>
  <c r="E13" i="69"/>
  <c r="E15" i="69"/>
  <c r="H46" i="22"/>
  <c r="G68" i="22"/>
  <c r="H261" i="53"/>
  <c r="J6" i="61"/>
  <c r="I35" i="61"/>
  <c r="F12" i="85"/>
  <c r="F12" i="21"/>
  <c r="H10" i="55"/>
  <c r="H65" i="55"/>
  <c r="D11" i="62"/>
  <c r="J41" i="21"/>
  <c r="E197" i="85"/>
  <c r="E200" i="85"/>
  <c r="E15" i="85"/>
  <c r="B270" i="85"/>
  <c r="B45" i="85"/>
  <c r="I251" i="53"/>
  <c r="I187" i="53"/>
  <c r="I247" i="53"/>
  <c r="I183" i="53"/>
  <c r="J251" i="53"/>
  <c r="J187" i="53"/>
  <c r="F43" i="61"/>
  <c r="F45" i="61"/>
  <c r="F56" i="61"/>
  <c r="C24" i="69"/>
  <c r="C10" i="69"/>
  <c r="D33" i="68"/>
  <c r="I188" i="53"/>
  <c r="I182" i="53"/>
  <c r="I184" i="53"/>
  <c r="I191" i="53"/>
  <c r="I252" i="53"/>
  <c r="G43" i="61"/>
  <c r="G45" i="61"/>
  <c r="G56" i="61"/>
  <c r="D24" i="69"/>
  <c r="D10" i="69"/>
  <c r="E33" i="68"/>
  <c r="D22" i="21"/>
  <c r="D22" i="85"/>
  <c r="F275" i="53"/>
  <c r="F277" i="53"/>
  <c r="H96" i="72"/>
  <c r="H95" i="72"/>
  <c r="G32" i="72"/>
  <c r="I246" i="53"/>
  <c r="I248" i="53"/>
  <c r="I255" i="53"/>
  <c r="J15" i="61"/>
  <c r="G33" i="55"/>
  <c r="F129" i="29"/>
  <c r="F159" i="29"/>
  <c r="F36" i="29"/>
  <c r="F144" i="29"/>
  <c r="F174" i="29"/>
  <c r="E15" i="21"/>
  <c r="J183" i="53"/>
  <c r="I154" i="84"/>
  <c r="I168" i="84"/>
  <c r="I169" i="84"/>
  <c r="I6" i="61"/>
  <c r="G261" i="53"/>
  <c r="J252" i="53"/>
  <c r="J188" i="53"/>
  <c r="J182" i="53"/>
  <c r="J184" i="53"/>
  <c r="J191" i="53"/>
  <c r="H18" i="61"/>
  <c r="H21" i="61"/>
  <c r="H53" i="61"/>
  <c r="H55" i="61"/>
  <c r="E25" i="69"/>
  <c r="F12" i="68"/>
  <c r="F174" i="84"/>
  <c r="F177" i="84"/>
  <c r="G12" i="61"/>
  <c r="I159" i="84"/>
  <c r="G12" i="84"/>
  <c r="G42" i="84"/>
  <c r="I40" i="61"/>
  <c r="F13" i="85"/>
  <c r="F198" i="85"/>
  <c r="F13" i="21"/>
  <c r="J156" i="84"/>
  <c r="H165" i="84"/>
  <c r="H166" i="84"/>
  <c r="F65" i="55"/>
  <c r="F10" i="55"/>
  <c r="J248" i="53"/>
  <c r="G96" i="72"/>
  <c r="G95" i="72"/>
  <c r="I48" i="61"/>
  <c r="F12" i="72"/>
  <c r="F35" i="72"/>
  <c r="F32" i="68"/>
  <c r="C109" i="29"/>
  <c r="B45" i="21"/>
  <c r="J246" i="53"/>
  <c r="J254" i="53"/>
  <c r="K48" i="61"/>
  <c r="H32" i="72"/>
  <c r="H12" i="84"/>
  <c r="H42" i="84"/>
  <c r="C23" i="85"/>
  <c r="C25" i="85"/>
  <c r="C23" i="21"/>
  <c r="C25" i="21"/>
  <c r="E186" i="84"/>
  <c r="E188" i="84"/>
  <c r="J154" i="84"/>
  <c r="J159" i="84"/>
  <c r="J168" i="84"/>
  <c r="J169" i="84"/>
  <c r="E6" i="68"/>
  <c r="G260" i="53"/>
  <c r="G263" i="53"/>
  <c r="H12" i="61"/>
  <c r="B24" i="69"/>
  <c r="F160" i="29"/>
  <c r="F175" i="29"/>
  <c r="F130" i="29"/>
  <c r="F37" i="29"/>
  <c r="F145" i="29"/>
  <c r="J222" i="55"/>
  <c r="J225" i="55"/>
  <c r="H18" i="21"/>
  <c r="H18" i="85"/>
  <c r="Q58" i="22"/>
  <c r="O53" i="22"/>
  <c r="P50" i="22"/>
  <c r="P51" i="22"/>
  <c r="P53" i="22"/>
  <c r="Q50" i="22"/>
  <c r="Q51" i="22"/>
  <c r="O65" i="22"/>
  <c r="P62" i="22"/>
  <c r="G44" i="22"/>
  <c r="F69" i="22"/>
  <c r="M67" i="22"/>
  <c r="M46" i="22"/>
  <c r="I53" i="22"/>
  <c r="M47" i="22"/>
  <c r="I46" i="22"/>
  <c r="I68" i="22"/>
  <c r="H68" i="22"/>
  <c r="H43" i="61"/>
  <c r="H45" i="61"/>
  <c r="H56" i="61"/>
  <c r="E24" i="69"/>
  <c r="E10" i="69"/>
  <c r="F33" i="68"/>
  <c r="K35" i="61"/>
  <c r="H12" i="85"/>
  <c r="H12" i="21"/>
  <c r="G12" i="21"/>
  <c r="J35" i="61"/>
  <c r="G12" i="85"/>
  <c r="K6" i="61"/>
  <c r="I261" i="53"/>
  <c r="J165" i="84"/>
  <c r="J166" i="84"/>
  <c r="F186" i="84"/>
  <c r="F188" i="84"/>
  <c r="D23" i="85"/>
  <c r="D23" i="21"/>
  <c r="D25" i="21"/>
  <c r="F6" i="68"/>
  <c r="F162" i="29"/>
  <c r="D12" i="62"/>
  <c r="E21" i="62"/>
  <c r="G144" i="29"/>
  <c r="G174" i="29"/>
  <c r="G129" i="29"/>
  <c r="G36" i="29"/>
  <c r="G159" i="29"/>
  <c r="F15" i="21"/>
  <c r="G6" i="68"/>
  <c r="I260" i="53"/>
  <c r="I263" i="53"/>
  <c r="K15" i="61"/>
  <c r="E22" i="85"/>
  <c r="G275" i="53"/>
  <c r="G277" i="53"/>
  <c r="E22" i="21"/>
  <c r="D135" i="29"/>
  <c r="D136" i="29"/>
  <c r="D137" i="29"/>
  <c r="K25" i="21"/>
  <c r="D180" i="29"/>
  <c r="D181" i="29"/>
  <c r="D182" i="29"/>
  <c r="D150" i="29"/>
  <c r="D151" i="29"/>
  <c r="D152" i="29"/>
  <c r="D41" i="29"/>
  <c r="D43" i="29"/>
  <c r="D47" i="29"/>
  <c r="C38" i="21"/>
  <c r="C40" i="21"/>
  <c r="D23" i="68"/>
  <c r="D165" i="29"/>
  <c r="D166" i="29"/>
  <c r="D167" i="29"/>
  <c r="H35" i="72"/>
  <c r="H12" i="72"/>
  <c r="G145" i="29"/>
  <c r="G130" i="29"/>
  <c r="G160" i="29"/>
  <c r="G37" i="29"/>
  <c r="G175" i="29"/>
  <c r="I165" i="84"/>
  <c r="I166" i="84"/>
  <c r="J53" i="61"/>
  <c r="F177" i="29"/>
  <c r="F132" i="29"/>
  <c r="D27" i="69"/>
  <c r="E29" i="68"/>
  <c r="E11" i="68"/>
  <c r="E13" i="68"/>
  <c r="D29" i="68"/>
  <c r="C27" i="69"/>
  <c r="F197" i="85"/>
  <c r="F200" i="85"/>
  <c r="F15" i="85"/>
  <c r="D11" i="68"/>
  <c r="D13" i="68"/>
  <c r="B27" i="69"/>
  <c r="C29" i="68"/>
  <c r="C11" i="68"/>
  <c r="K40" i="61"/>
  <c r="H13" i="85"/>
  <c r="H198" i="85"/>
  <c r="H13" i="21"/>
  <c r="C202" i="85"/>
  <c r="C204" i="85"/>
  <c r="C208" i="85"/>
  <c r="C38" i="85"/>
  <c r="C40" i="85"/>
  <c r="J40" i="61"/>
  <c r="G13" i="21"/>
  <c r="G13" i="85"/>
  <c r="G198" i="85"/>
  <c r="I9" i="61"/>
  <c r="H174" i="84"/>
  <c r="G175" i="84"/>
  <c r="G177" i="84"/>
  <c r="F147" i="29"/>
  <c r="G12" i="72"/>
  <c r="G35" i="72"/>
  <c r="D25" i="85"/>
  <c r="I42" i="61"/>
  <c r="J48" i="61"/>
  <c r="I53" i="61"/>
  <c r="I55" i="61"/>
  <c r="F25" i="69"/>
  <c r="G12" i="68"/>
  <c r="I18" i="61"/>
  <c r="H260" i="53"/>
  <c r="H263" i="53"/>
  <c r="F39" i="29"/>
  <c r="G10" i="55"/>
  <c r="G65" i="55"/>
  <c r="P52" i="22"/>
  <c r="Q52" i="22"/>
  <c r="M68" i="22"/>
  <c r="P63" i="22"/>
  <c r="P64" i="22"/>
  <c r="D98" i="22"/>
  <c r="D59" i="85"/>
  <c r="N44" i="22"/>
  <c r="M69" i="22"/>
  <c r="Q53" i="22"/>
  <c r="G47" i="22"/>
  <c r="G66" i="22"/>
  <c r="F13" i="69"/>
  <c r="F15" i="69"/>
  <c r="E20" i="62"/>
  <c r="C10" i="68"/>
  <c r="J55" i="61"/>
  <c r="G25" i="69"/>
  <c r="H12" i="68"/>
  <c r="I12" i="61"/>
  <c r="H275" i="53"/>
  <c r="H277" i="53"/>
  <c r="F22" i="85"/>
  <c r="F22" i="21"/>
  <c r="G39" i="29"/>
  <c r="B33" i="69"/>
  <c r="C33" i="69"/>
  <c r="D33" i="69"/>
  <c r="E33" i="69"/>
  <c r="F33" i="69"/>
  <c r="G33" i="69"/>
  <c r="H33" i="69"/>
  <c r="C7" i="68"/>
  <c r="G197" i="85"/>
  <c r="G200" i="85"/>
  <c r="G15" i="85"/>
  <c r="H197" i="85"/>
  <c r="H200" i="85"/>
  <c r="H15" i="85"/>
  <c r="J9" i="61"/>
  <c r="H175" i="84"/>
  <c r="H177" i="84"/>
  <c r="I21" i="61"/>
  <c r="F9" i="69"/>
  <c r="G32" i="68"/>
  <c r="H175" i="29"/>
  <c r="H160" i="29"/>
  <c r="H145" i="29"/>
  <c r="H37" i="29"/>
  <c r="H130" i="29"/>
  <c r="I145" i="29"/>
  <c r="I130" i="29"/>
  <c r="I160" i="29"/>
  <c r="I175" i="29"/>
  <c r="I37" i="29"/>
  <c r="D109" i="29"/>
  <c r="C45" i="21"/>
  <c r="G22" i="21"/>
  <c r="I275" i="53"/>
  <c r="I277" i="53"/>
  <c r="G22" i="85"/>
  <c r="G132" i="29"/>
  <c r="J42" i="61"/>
  <c r="G9" i="69"/>
  <c r="K42" i="61"/>
  <c r="H9" i="69"/>
  <c r="D202" i="85"/>
  <c r="D204" i="85"/>
  <c r="D208" i="85"/>
  <c r="D38" i="85"/>
  <c r="D40" i="85"/>
  <c r="E23" i="85"/>
  <c r="E25" i="85"/>
  <c r="E23" i="21"/>
  <c r="G186" i="84"/>
  <c r="G188" i="84"/>
  <c r="G177" i="29"/>
  <c r="J260" i="53"/>
  <c r="H144" i="29"/>
  <c r="H147" i="29"/>
  <c r="H129" i="29"/>
  <c r="H132" i="29"/>
  <c r="H174" i="29"/>
  <c r="H177" i="29"/>
  <c r="H159" i="29"/>
  <c r="H162" i="29"/>
  <c r="H36" i="29"/>
  <c r="H39" i="29"/>
  <c r="G15" i="21"/>
  <c r="E41" i="29"/>
  <c r="E43" i="29"/>
  <c r="E47" i="29"/>
  <c r="E23" i="68"/>
  <c r="E150" i="29"/>
  <c r="E151" i="29"/>
  <c r="E152" i="29"/>
  <c r="E165" i="29"/>
  <c r="E166" i="29"/>
  <c r="E167" i="29"/>
  <c r="D38" i="21"/>
  <c r="D40" i="21"/>
  <c r="E135" i="29"/>
  <c r="E136" i="29"/>
  <c r="E137" i="29"/>
  <c r="E180" i="29"/>
  <c r="E181" i="29"/>
  <c r="E182" i="29"/>
  <c r="L25" i="21"/>
  <c r="C270" i="85"/>
  <c r="C45" i="85"/>
  <c r="J18" i="61"/>
  <c r="E25" i="21"/>
  <c r="J261" i="53"/>
  <c r="G162" i="29"/>
  <c r="G147" i="29"/>
  <c r="K18" i="61"/>
  <c r="J175" i="84"/>
  <c r="K53" i="61"/>
  <c r="K55" i="61"/>
  <c r="H25" i="69"/>
  <c r="I12" i="68"/>
  <c r="I129" i="29"/>
  <c r="I132" i="29"/>
  <c r="I159" i="29"/>
  <c r="I162" i="29"/>
  <c r="I36" i="29"/>
  <c r="I39" i="29"/>
  <c r="I144" i="29"/>
  <c r="I147" i="29"/>
  <c r="I174" i="29"/>
  <c r="I177" i="29"/>
  <c r="H15" i="21"/>
  <c r="F11" i="68"/>
  <c r="F13" i="68"/>
  <c r="E27" i="69"/>
  <c r="F29" i="68"/>
  <c r="H44" i="22"/>
  <c r="G69" i="22"/>
  <c r="N45" i="22"/>
  <c r="N66" i="22"/>
  <c r="P65" i="22"/>
  <c r="Q62" i="22"/>
  <c r="H32" i="68"/>
  <c r="D4" i="23"/>
  <c r="E22" i="62"/>
  <c r="F83" i="86"/>
  <c r="F84" i="86"/>
  <c r="I32" i="68"/>
  <c r="E202" i="85"/>
  <c r="E204" i="85"/>
  <c r="E208" i="85"/>
  <c r="E38" i="85"/>
  <c r="E40" i="85"/>
  <c r="E109" i="29"/>
  <c r="D45" i="21"/>
  <c r="J263" i="53"/>
  <c r="D45" i="85"/>
  <c r="D270" i="85"/>
  <c r="C10" i="23"/>
  <c r="D10" i="23"/>
  <c r="F10" i="23"/>
  <c r="E10" i="23"/>
  <c r="G10" i="23"/>
  <c r="C11" i="23"/>
  <c r="D8" i="23"/>
  <c r="I174" i="84"/>
  <c r="J12" i="61"/>
  <c r="I6" i="68"/>
  <c r="F150" i="29"/>
  <c r="F151" i="29"/>
  <c r="F152" i="29"/>
  <c r="F135" i="29"/>
  <c r="F136" i="29"/>
  <c r="F137" i="29"/>
  <c r="F165" i="29"/>
  <c r="F166" i="29"/>
  <c r="F167" i="29"/>
  <c r="F180" i="29"/>
  <c r="F181" i="29"/>
  <c r="F182" i="29"/>
  <c r="E38" i="21"/>
  <c r="E40" i="21"/>
  <c r="F41" i="29"/>
  <c r="F43" i="29"/>
  <c r="F47" i="29"/>
  <c r="F23" i="68"/>
  <c r="M25" i="21"/>
  <c r="H6" i="68"/>
  <c r="C15" i="29"/>
  <c r="C13" i="68"/>
  <c r="K9" i="61"/>
  <c r="I175" i="84"/>
  <c r="J21" i="61"/>
  <c r="F10" i="69"/>
  <c r="G33" i="68"/>
  <c r="I43" i="61"/>
  <c r="I45" i="61"/>
  <c r="I56" i="61"/>
  <c r="F24" i="69"/>
  <c r="K21" i="61"/>
  <c r="F23" i="85"/>
  <c r="F25" i="85"/>
  <c r="F23" i="21"/>
  <c r="F25" i="21"/>
  <c r="H186" i="84"/>
  <c r="H188" i="84"/>
  <c r="N67" i="22"/>
  <c r="N46" i="22"/>
  <c r="Q63" i="22"/>
  <c r="Q64" i="22"/>
  <c r="H47" i="22"/>
  <c r="H66" i="22"/>
  <c r="G13" i="69"/>
  <c r="G15" i="69"/>
  <c r="N47" i="22"/>
  <c r="F38" i="85"/>
  <c r="F40" i="85"/>
  <c r="F202" i="85"/>
  <c r="F204" i="85"/>
  <c r="F208" i="85"/>
  <c r="N25" i="21"/>
  <c r="G23" i="68"/>
  <c r="F38" i="21"/>
  <c r="F40" i="21"/>
  <c r="G165" i="29"/>
  <c r="G166" i="29"/>
  <c r="G167" i="29"/>
  <c r="G135" i="29"/>
  <c r="G136" i="29"/>
  <c r="G137" i="29"/>
  <c r="G150" i="29"/>
  <c r="G151" i="29"/>
  <c r="G152" i="29"/>
  <c r="G180" i="29"/>
  <c r="G181" i="29"/>
  <c r="G182" i="29"/>
  <c r="G41" i="29"/>
  <c r="G43" i="29"/>
  <c r="G47" i="29"/>
  <c r="G29" i="68"/>
  <c r="G11" i="68"/>
  <c r="G13" i="68"/>
  <c r="F27" i="69"/>
  <c r="D22" i="29"/>
  <c r="C83" i="29"/>
  <c r="C94" i="29"/>
  <c r="C71" i="29"/>
  <c r="F109" i="29"/>
  <c r="E45" i="21"/>
  <c r="I177" i="84"/>
  <c r="F67" i="23"/>
  <c r="F56" i="23"/>
  <c r="F16" i="23"/>
  <c r="F23" i="23"/>
  <c r="F48" i="23"/>
  <c r="F51" i="23"/>
  <c r="F24" i="23"/>
  <c r="F17" i="23"/>
  <c r="F47" i="23"/>
  <c r="F69" i="23"/>
  <c r="F57" i="23"/>
  <c r="F63" i="23"/>
  <c r="F34" i="23"/>
  <c r="F58" i="23"/>
  <c r="F25" i="23"/>
  <c r="F66" i="23"/>
  <c r="F35" i="23"/>
  <c r="F28" i="23"/>
  <c r="F44" i="23"/>
  <c r="F37" i="23"/>
  <c r="F60" i="23"/>
  <c r="F62" i="23"/>
  <c r="F43" i="23"/>
  <c r="F32" i="23"/>
  <c r="F20" i="23"/>
  <c r="F59" i="23"/>
  <c r="F61" i="23"/>
  <c r="F30" i="23"/>
  <c r="F50" i="23"/>
  <c r="F38" i="23"/>
  <c r="F49" i="23"/>
  <c r="F29" i="23"/>
  <c r="F53" i="23"/>
  <c r="F18" i="23"/>
  <c r="F65" i="23"/>
  <c r="F40" i="23"/>
  <c r="F21" i="23"/>
  <c r="F46" i="23"/>
  <c r="F64" i="23"/>
  <c r="F54" i="23"/>
  <c r="F55" i="23"/>
  <c r="F22" i="23"/>
  <c r="F31" i="23"/>
  <c r="F33" i="23"/>
  <c r="F26" i="23"/>
  <c r="F68" i="23"/>
  <c r="F39" i="23"/>
  <c r="F52" i="23"/>
  <c r="F27" i="23"/>
  <c r="F19" i="23"/>
  <c r="F36" i="23"/>
  <c r="F41" i="23"/>
  <c r="F45" i="23"/>
  <c r="F42" i="23"/>
  <c r="J275" i="53"/>
  <c r="J277" i="53"/>
  <c r="H22" i="21"/>
  <c r="H22" i="85"/>
  <c r="E45" i="85"/>
  <c r="E270" i="85"/>
  <c r="J174" i="84"/>
  <c r="J177" i="84"/>
  <c r="K12" i="61"/>
  <c r="H10" i="69"/>
  <c r="K43" i="61"/>
  <c r="K45" i="61"/>
  <c r="K56" i="61"/>
  <c r="H24" i="69"/>
  <c r="B176" i="85"/>
  <c r="B70" i="85"/>
  <c r="G10" i="69"/>
  <c r="H33" i="68"/>
  <c r="J43" i="61"/>
  <c r="J45" i="61"/>
  <c r="J56" i="61"/>
  <c r="G24" i="69"/>
  <c r="D11" i="23"/>
  <c r="F11" i="23"/>
  <c r="E11" i="23"/>
  <c r="G11" i="23"/>
  <c r="C12" i="23"/>
  <c r="D12" i="23"/>
  <c r="F12" i="23"/>
  <c r="E12" i="23"/>
  <c r="N68" i="22"/>
  <c r="E98" i="22"/>
  <c r="E59" i="85"/>
  <c r="O44" i="22"/>
  <c r="N69" i="22"/>
  <c r="Q65" i="22"/>
  <c r="I44" i="22"/>
  <c r="H69" i="22"/>
  <c r="B232" i="85"/>
  <c r="B244" i="85"/>
  <c r="B255" i="85"/>
  <c r="C183" i="85"/>
  <c r="J186" i="84"/>
  <c r="J188" i="84"/>
  <c r="H23" i="21"/>
  <c r="H25" i="21"/>
  <c r="H23" i="85"/>
  <c r="G23" i="85"/>
  <c r="G25" i="85"/>
  <c r="I186" i="84"/>
  <c r="I188" i="84"/>
  <c r="G23" i="21"/>
  <c r="G25" i="21"/>
  <c r="B74" i="85"/>
  <c r="C76" i="85"/>
  <c r="D76" i="85"/>
  <c r="F76" i="85"/>
  <c r="E76" i="85"/>
  <c r="G76" i="85"/>
  <c r="C77" i="85"/>
  <c r="D77" i="85"/>
  <c r="F77" i="85"/>
  <c r="E77" i="85"/>
  <c r="G77" i="85"/>
  <c r="C78" i="85"/>
  <c r="D78" i="85"/>
  <c r="F78" i="85"/>
  <c r="E78" i="85"/>
  <c r="G78" i="85"/>
  <c r="C79" i="85"/>
  <c r="D79" i="85"/>
  <c r="H29" i="68"/>
  <c r="G27" i="69"/>
  <c r="H11" i="68"/>
  <c r="H13" i="68"/>
  <c r="H25" i="85"/>
  <c r="I11" i="68"/>
  <c r="I13" i="68"/>
  <c r="I29" i="68"/>
  <c r="H27" i="69"/>
  <c r="H31" i="69"/>
  <c r="G12" i="23"/>
  <c r="C13" i="23"/>
  <c r="D13" i="23"/>
  <c r="I33" i="68"/>
  <c r="F45" i="21"/>
  <c r="G109" i="29"/>
  <c r="F45" i="85"/>
  <c r="F270" i="85"/>
  <c r="O45" i="22"/>
  <c r="O66" i="22"/>
  <c r="I47" i="22"/>
  <c r="I69" i="22"/>
  <c r="I66" i="22"/>
  <c r="H13" i="69"/>
  <c r="H15" i="69"/>
  <c r="I165" i="29"/>
  <c r="I166" i="29"/>
  <c r="I167" i="29"/>
  <c r="I23" i="68"/>
  <c r="I180" i="29"/>
  <c r="I181" i="29"/>
  <c r="I182" i="29"/>
  <c r="I135" i="29"/>
  <c r="I136" i="29"/>
  <c r="I137" i="29"/>
  <c r="I41" i="29"/>
  <c r="I43" i="29"/>
  <c r="I47" i="29"/>
  <c r="H38" i="21"/>
  <c r="H40" i="21"/>
  <c r="I150" i="29"/>
  <c r="I151" i="29"/>
  <c r="I152" i="29"/>
  <c r="P25" i="21"/>
  <c r="F122" i="85"/>
  <c r="F155" i="85"/>
  <c r="F103" i="85"/>
  <c r="F158" i="85"/>
  <c r="F145" i="85"/>
  <c r="F138" i="85"/>
  <c r="F139" i="85"/>
  <c r="F159" i="85"/>
  <c r="F105" i="85"/>
  <c r="F104" i="85"/>
  <c r="F153" i="85"/>
  <c r="F132" i="85"/>
  <c r="F113" i="85"/>
  <c r="F118" i="85"/>
  <c r="F154" i="85"/>
  <c r="F144" i="85"/>
  <c r="F96" i="85"/>
  <c r="F142" i="85"/>
  <c r="F156" i="85"/>
  <c r="F131" i="85"/>
  <c r="F93" i="85"/>
  <c r="F124" i="85"/>
  <c r="F157" i="85"/>
  <c r="F110" i="85"/>
  <c r="F133" i="85"/>
  <c r="F98" i="85"/>
  <c r="F128" i="85"/>
  <c r="F94" i="85"/>
  <c r="F106" i="85"/>
  <c r="F97" i="85"/>
  <c r="F101" i="85"/>
  <c r="F137" i="85"/>
  <c r="F111" i="85"/>
  <c r="F120" i="85"/>
  <c r="F134" i="85"/>
  <c r="F116" i="85"/>
  <c r="F123" i="85"/>
  <c r="F84" i="85"/>
  <c r="F143" i="85"/>
  <c r="F87" i="85"/>
  <c r="F121" i="85"/>
  <c r="F89" i="85"/>
  <c r="F114" i="85"/>
  <c r="F148" i="85"/>
  <c r="F151" i="85"/>
  <c r="F92" i="85"/>
  <c r="F83" i="85"/>
  <c r="F86" i="85"/>
  <c r="F90" i="85"/>
  <c r="F109" i="85"/>
  <c r="F146" i="85"/>
  <c r="F95" i="85"/>
  <c r="F125" i="85"/>
  <c r="F119" i="85"/>
  <c r="F136" i="85"/>
  <c r="F115" i="85"/>
  <c r="F150" i="85"/>
  <c r="F88" i="85"/>
  <c r="F100" i="85"/>
  <c r="F102" i="85"/>
  <c r="F140" i="85"/>
  <c r="F127" i="85"/>
  <c r="F82" i="85"/>
  <c r="F107" i="85"/>
  <c r="F147" i="85"/>
  <c r="F85" i="85"/>
  <c r="F99" i="85"/>
  <c r="F141" i="85"/>
  <c r="F149" i="85"/>
  <c r="F117" i="85"/>
  <c r="F130" i="85"/>
  <c r="F91" i="85"/>
  <c r="F126" i="85"/>
  <c r="F135" i="85"/>
  <c r="F152" i="85"/>
  <c r="F129" i="85"/>
  <c r="F108" i="85"/>
  <c r="F112" i="85"/>
  <c r="H38" i="85"/>
  <c r="H40" i="85"/>
  <c r="H202" i="85"/>
  <c r="H204" i="85"/>
  <c r="H208" i="85"/>
  <c r="G202" i="85"/>
  <c r="G204" i="85"/>
  <c r="G208" i="85"/>
  <c r="B210" i="85"/>
  <c r="G38" i="85"/>
  <c r="G40" i="85"/>
  <c r="H180" i="29"/>
  <c r="H181" i="29"/>
  <c r="H182" i="29"/>
  <c r="H41" i="29"/>
  <c r="H43" i="29"/>
  <c r="H47" i="29"/>
  <c r="G38" i="21"/>
  <c r="G40" i="21"/>
  <c r="H165" i="29"/>
  <c r="H166" i="29"/>
  <c r="H167" i="29"/>
  <c r="H135" i="29"/>
  <c r="H136" i="29"/>
  <c r="H137" i="29"/>
  <c r="H150" i="29"/>
  <c r="H151" i="29"/>
  <c r="H152" i="29"/>
  <c r="H23" i="68"/>
  <c r="O25" i="21"/>
  <c r="O67" i="22"/>
  <c r="O46" i="22"/>
  <c r="O47" i="22"/>
  <c r="F79" i="85"/>
  <c r="F13" i="23"/>
  <c r="E13" i="23"/>
  <c r="H276" i="85"/>
  <c r="H270" i="85"/>
  <c r="H45" i="85"/>
  <c r="D276" i="85"/>
  <c r="G276" i="85"/>
  <c r="E276" i="85"/>
  <c r="C276" i="85"/>
  <c r="F276" i="85"/>
  <c r="H45" i="21"/>
  <c r="I109" i="29"/>
  <c r="G45" i="21"/>
  <c r="H109" i="29"/>
  <c r="G270" i="85"/>
  <c r="G45" i="85"/>
  <c r="C49" i="29"/>
  <c r="F98" i="22"/>
  <c r="F59" i="85"/>
  <c r="P44" i="22"/>
  <c r="O69" i="22"/>
  <c r="O68" i="22"/>
  <c r="G13" i="23"/>
  <c r="C14" i="23"/>
  <c r="E79" i="85"/>
  <c r="G79" i="85"/>
  <c r="C80" i="85"/>
  <c r="D28" i="62"/>
  <c r="G7" i="90"/>
  <c r="P45" i="22"/>
  <c r="P47" i="22"/>
  <c r="P66" i="22"/>
  <c r="D80" i="85"/>
  <c r="D14" i="23"/>
  <c r="Q44" i="22"/>
  <c r="P69" i="22"/>
  <c r="P67" i="22"/>
  <c r="P46" i="22"/>
  <c r="F14" i="23"/>
  <c r="E14" i="23"/>
  <c r="F80" i="85"/>
  <c r="P68" i="22"/>
  <c r="Q45" i="22"/>
  <c r="Q67" i="22"/>
  <c r="Q66" i="22"/>
  <c r="G59" i="85"/>
  <c r="G98" i="22"/>
  <c r="E80" i="85"/>
  <c r="G80" i="85"/>
  <c r="C81" i="85"/>
  <c r="G14" i="23"/>
  <c r="C15" i="23"/>
  <c r="Q46" i="22"/>
  <c r="Q68" i="22"/>
  <c r="Q47" i="22"/>
  <c r="Q69" i="22"/>
  <c r="H98" i="22"/>
  <c r="H59" i="85"/>
  <c r="D15" i="23"/>
  <c r="F15" i="23"/>
  <c r="E15" i="23"/>
  <c r="G15" i="23"/>
  <c r="C16" i="23"/>
  <c r="D81" i="85"/>
  <c r="F81" i="85"/>
  <c r="D16" i="23"/>
  <c r="E16" i="23"/>
  <c r="G16" i="23"/>
  <c r="C17" i="23"/>
  <c r="E81" i="85"/>
  <c r="G81" i="85"/>
  <c r="C82" i="85"/>
  <c r="B276" i="85"/>
  <c r="D82" i="85"/>
  <c r="E82" i="85"/>
  <c r="G82" i="85"/>
  <c r="C83" i="85"/>
  <c r="D17" i="23"/>
  <c r="E17" i="23"/>
  <c r="G17" i="23"/>
  <c r="C18" i="23"/>
  <c r="D18" i="23"/>
  <c r="E18" i="23"/>
  <c r="G18" i="23"/>
  <c r="C19" i="23"/>
  <c r="D83" i="85"/>
  <c r="E83" i="85"/>
  <c r="G83" i="85"/>
  <c r="C84" i="85"/>
  <c r="D84" i="85"/>
  <c r="E84" i="85"/>
  <c r="G84" i="85"/>
  <c r="C85" i="85"/>
  <c r="D19" i="23"/>
  <c r="E19" i="23"/>
  <c r="G19" i="23"/>
  <c r="C20" i="23"/>
  <c r="D20" i="23"/>
  <c r="E20" i="23"/>
  <c r="G20" i="23"/>
  <c r="C21" i="23"/>
  <c r="D85" i="85"/>
  <c r="E85" i="85"/>
  <c r="G85" i="85"/>
  <c r="C86" i="85"/>
  <c r="D86" i="85"/>
  <c r="E86" i="85"/>
  <c r="G86" i="85"/>
  <c r="C87" i="85"/>
  <c r="D21" i="23"/>
  <c r="D87" i="85"/>
  <c r="E21" i="23"/>
  <c r="C27" i="68"/>
  <c r="B47" i="21"/>
  <c r="B49" i="21"/>
  <c r="C113" i="29"/>
  <c r="C26" i="68"/>
  <c r="G21" i="23"/>
  <c r="E87" i="85"/>
  <c r="G87" i="85"/>
  <c r="C88" i="85"/>
  <c r="B47" i="85"/>
  <c r="B49" i="85"/>
  <c r="B273" i="85"/>
  <c r="B274" i="85"/>
  <c r="B278" i="85"/>
  <c r="C22" i="23"/>
  <c r="B28" i="69"/>
  <c r="B31" i="69"/>
  <c r="C115" i="29"/>
  <c r="C117" i="29"/>
  <c r="B57" i="85"/>
  <c r="B60" i="85"/>
  <c r="B61" i="85"/>
  <c r="B50" i="85"/>
  <c r="B51" i="85"/>
  <c r="D88" i="85"/>
  <c r="J40" i="21"/>
  <c r="J42" i="21"/>
  <c r="B96" i="22"/>
  <c r="B99" i="22"/>
  <c r="B100" i="22"/>
  <c r="B50" i="21"/>
  <c r="C256" i="85"/>
  <c r="C259" i="85"/>
  <c r="C260" i="85"/>
  <c r="B219" i="85"/>
  <c r="B224" i="85"/>
  <c r="B228" i="85"/>
  <c r="B241" i="85"/>
  <c r="C170" i="85"/>
  <c r="C175" i="85"/>
  <c r="E88" i="85"/>
  <c r="G88" i="85"/>
  <c r="C89" i="85"/>
  <c r="D22" i="23"/>
  <c r="C30" i="68"/>
  <c r="B51" i="21"/>
  <c r="C80" i="29"/>
  <c r="E22" i="23"/>
  <c r="C31" i="68"/>
  <c r="D89" i="85"/>
  <c r="C176" i="85"/>
  <c r="C34" i="68"/>
  <c r="C35" i="68"/>
  <c r="C37" i="68"/>
  <c r="B8" i="69"/>
  <c r="B11" i="69"/>
  <c r="B20" i="69"/>
  <c r="C58" i="29"/>
  <c r="C63" i="29"/>
  <c r="C67" i="29"/>
  <c r="B58" i="21"/>
  <c r="D95" i="29"/>
  <c r="D98" i="29"/>
  <c r="D99" i="29"/>
  <c r="B55" i="21"/>
  <c r="G22" i="23"/>
  <c r="C23" i="23"/>
  <c r="E89" i="85"/>
  <c r="G89" i="85"/>
  <c r="C90" i="85"/>
  <c r="D36" i="68"/>
  <c r="B37" i="69"/>
  <c r="B39" i="69"/>
  <c r="C36" i="69"/>
  <c r="D9" i="29"/>
  <c r="D14" i="29"/>
  <c r="D15" i="29"/>
  <c r="D90" i="85"/>
  <c r="D23" i="23"/>
  <c r="B41" i="69"/>
  <c r="B43" i="69"/>
  <c r="B46" i="69"/>
  <c r="E90" i="85"/>
  <c r="G90" i="85"/>
  <c r="C91" i="85"/>
  <c r="E23" i="23"/>
  <c r="G23" i="23"/>
  <c r="C24" i="23"/>
  <c r="D91" i="85"/>
  <c r="E91" i="85"/>
  <c r="G91" i="85"/>
  <c r="C92" i="85"/>
  <c r="D24" i="23"/>
  <c r="E24" i="23"/>
  <c r="D92" i="85"/>
  <c r="E92" i="85"/>
  <c r="G92" i="85"/>
  <c r="C93" i="85"/>
  <c r="G24" i="23"/>
  <c r="C25" i="23"/>
  <c r="D25" i="23"/>
  <c r="D93" i="85"/>
  <c r="E93" i="85"/>
  <c r="G93" i="85"/>
  <c r="C94" i="85"/>
  <c r="D94" i="85"/>
  <c r="E94" i="85"/>
  <c r="G94" i="85"/>
  <c r="C95" i="85"/>
  <c r="E25" i="23"/>
  <c r="G25" i="23"/>
  <c r="C26" i="23"/>
  <c r="D95" i="85"/>
  <c r="E95" i="85"/>
  <c r="G95" i="85"/>
  <c r="C96" i="85"/>
  <c r="D96" i="85"/>
  <c r="E96" i="85"/>
  <c r="G96" i="85"/>
  <c r="C97" i="85"/>
  <c r="D26" i="23"/>
  <c r="D97" i="85"/>
  <c r="E97" i="85"/>
  <c r="G97" i="85"/>
  <c r="C98" i="85"/>
  <c r="E26" i="23"/>
  <c r="G26" i="23"/>
  <c r="C27" i="23"/>
  <c r="D98" i="85"/>
  <c r="E98" i="85"/>
  <c r="G98" i="85"/>
  <c r="C99" i="85"/>
  <c r="D99" i="85"/>
  <c r="D27" i="23"/>
  <c r="E27" i="23"/>
  <c r="G27" i="23"/>
  <c r="C28" i="23"/>
  <c r="D28" i="23"/>
  <c r="E28" i="23"/>
  <c r="G28" i="23"/>
  <c r="C29" i="23"/>
  <c r="E99" i="85"/>
  <c r="G99" i="85"/>
  <c r="C100" i="85"/>
  <c r="C47" i="85"/>
  <c r="C49" i="85"/>
  <c r="C273" i="85"/>
  <c r="C274" i="85"/>
  <c r="C278" i="85"/>
  <c r="D29" i="23"/>
  <c r="E29" i="23"/>
  <c r="G29" i="23"/>
  <c r="C30" i="23"/>
  <c r="C57" i="85"/>
  <c r="C60" i="85"/>
  <c r="C61" i="85"/>
  <c r="C50" i="85"/>
  <c r="C51" i="85"/>
  <c r="D100" i="85"/>
  <c r="C219" i="85"/>
  <c r="C224" i="85"/>
  <c r="C228" i="85"/>
  <c r="D256" i="85"/>
  <c r="D259" i="85"/>
  <c r="D260" i="85"/>
  <c r="C241" i="85"/>
  <c r="D170" i="85"/>
  <c r="D175" i="85"/>
  <c r="D30" i="23"/>
  <c r="E30" i="23"/>
  <c r="G30" i="23"/>
  <c r="C31" i="23"/>
  <c r="E100" i="85"/>
  <c r="G100" i="85"/>
  <c r="C101" i="85"/>
  <c r="D31" i="23"/>
  <c r="E31" i="23"/>
  <c r="G31" i="23"/>
  <c r="C32" i="23"/>
  <c r="D176" i="85"/>
  <c r="D101" i="85"/>
  <c r="D32" i="23"/>
  <c r="E32" i="23"/>
  <c r="G32" i="23"/>
  <c r="C33" i="23"/>
  <c r="E101" i="85"/>
  <c r="G101" i="85"/>
  <c r="C102" i="85"/>
  <c r="D33" i="23"/>
  <c r="D102" i="85"/>
  <c r="E33" i="23"/>
  <c r="D27" i="68"/>
  <c r="E102" i="85"/>
  <c r="G102" i="85"/>
  <c r="C103" i="85"/>
  <c r="D103" i="85"/>
  <c r="D113" i="29"/>
  <c r="C47" i="21"/>
  <c r="C49" i="21"/>
  <c r="D26" i="68"/>
  <c r="G33" i="23"/>
  <c r="C96" i="22"/>
  <c r="C28" i="69"/>
  <c r="C31" i="69"/>
  <c r="C34" i="23"/>
  <c r="D115" i="29"/>
  <c r="D117" i="29"/>
  <c r="E103" i="85"/>
  <c r="G103" i="85"/>
  <c r="C104" i="85"/>
  <c r="C99" i="22"/>
  <c r="C100" i="22"/>
  <c r="C50" i="21"/>
  <c r="D104" i="85"/>
  <c r="D34" i="23"/>
  <c r="D30" i="68"/>
  <c r="C51" i="21"/>
  <c r="D58" i="29"/>
  <c r="D63" i="29"/>
  <c r="D67" i="29"/>
  <c r="E104" i="85"/>
  <c r="G104" i="85"/>
  <c r="C105" i="85"/>
  <c r="E34" i="23"/>
  <c r="D31" i="68"/>
  <c r="E95" i="29"/>
  <c r="E98" i="29"/>
  <c r="E99" i="29"/>
  <c r="C58" i="21"/>
  <c r="D80" i="29"/>
  <c r="D34" i="68"/>
  <c r="D35" i="68"/>
  <c r="D37" i="68"/>
  <c r="E36" i="68"/>
  <c r="C55" i="21"/>
  <c r="G34" i="23"/>
  <c r="C35" i="23"/>
  <c r="D105" i="85"/>
  <c r="E105" i="85"/>
  <c r="G105" i="85"/>
  <c r="C106" i="85"/>
  <c r="C8" i="69"/>
  <c r="C11" i="69"/>
  <c r="C20" i="69"/>
  <c r="C37" i="69"/>
  <c r="C39" i="69"/>
  <c r="D36" i="69"/>
  <c r="E9" i="29"/>
  <c r="E14" i="29"/>
  <c r="E15" i="29"/>
  <c r="D35" i="23"/>
  <c r="D106" i="85"/>
  <c r="E106" i="85"/>
  <c r="G106" i="85"/>
  <c r="C107" i="85"/>
  <c r="C41" i="69"/>
  <c r="C43" i="69"/>
  <c r="C46" i="69"/>
  <c r="D107" i="85"/>
  <c r="E107" i="85"/>
  <c r="G107" i="85"/>
  <c r="C108" i="85"/>
  <c r="E35" i="23"/>
  <c r="G35" i="23"/>
  <c r="C36" i="23"/>
  <c r="D108" i="85"/>
  <c r="E108" i="85"/>
  <c r="G108" i="85"/>
  <c r="C109" i="85"/>
  <c r="D109" i="85"/>
  <c r="E109" i="85"/>
  <c r="G109" i="85"/>
  <c r="C110" i="85"/>
  <c r="D36" i="23"/>
  <c r="D110" i="85"/>
  <c r="E110" i="85"/>
  <c r="G110" i="85"/>
  <c r="C111" i="85"/>
  <c r="E36" i="23"/>
  <c r="G36" i="23"/>
  <c r="C37" i="23"/>
  <c r="D111" i="85"/>
  <c r="E111" i="85"/>
  <c r="G111" i="85"/>
  <c r="C112" i="85"/>
  <c r="D47" i="85"/>
  <c r="D49" i="85"/>
  <c r="D273" i="85"/>
  <c r="D274" i="85"/>
  <c r="D278" i="85"/>
  <c r="D37" i="23"/>
  <c r="E37" i="23"/>
  <c r="D57" i="85"/>
  <c r="D60" i="85"/>
  <c r="D61" i="85"/>
  <c r="D50" i="85"/>
  <c r="D51" i="85"/>
  <c r="D112" i="85"/>
  <c r="D241" i="85"/>
  <c r="E170" i="85"/>
  <c r="E175" i="85"/>
  <c r="E256" i="85"/>
  <c r="E259" i="85"/>
  <c r="E260" i="85"/>
  <c r="D219" i="85"/>
  <c r="D224" i="85"/>
  <c r="D228" i="85"/>
  <c r="E112" i="85"/>
  <c r="G112" i="85"/>
  <c r="C113" i="85"/>
  <c r="G37" i="23"/>
  <c r="C38" i="23"/>
  <c r="D113" i="85"/>
  <c r="E176" i="85"/>
  <c r="D38" i="23"/>
  <c r="E38" i="23"/>
  <c r="E113" i="85"/>
  <c r="G113" i="85"/>
  <c r="C114" i="85"/>
  <c r="D114" i="85"/>
  <c r="G38" i="23"/>
  <c r="C39" i="23"/>
  <c r="D39" i="23"/>
  <c r="E39" i="23"/>
  <c r="G39" i="23"/>
  <c r="C40" i="23"/>
  <c r="E114" i="85"/>
  <c r="G114" i="85"/>
  <c r="C115" i="85"/>
  <c r="D115" i="85"/>
  <c r="D40" i="23"/>
  <c r="E40" i="23"/>
  <c r="G40" i="23"/>
  <c r="C41" i="23"/>
  <c r="D41" i="23"/>
  <c r="E41" i="23"/>
  <c r="G41" i="23"/>
  <c r="C42" i="23"/>
  <c r="E115" i="85"/>
  <c r="G115" i="85"/>
  <c r="C116" i="85"/>
  <c r="D116" i="85"/>
  <c r="D42" i="23"/>
  <c r="E42" i="23"/>
  <c r="G42" i="23"/>
  <c r="C43" i="23"/>
  <c r="D43" i="23"/>
  <c r="E43" i="23"/>
  <c r="G43" i="23"/>
  <c r="C44" i="23"/>
  <c r="E116" i="85"/>
  <c r="G116" i="85"/>
  <c r="C117" i="85"/>
  <c r="D44" i="23"/>
  <c r="E44" i="23"/>
  <c r="G44" i="23"/>
  <c r="C45" i="23"/>
  <c r="D117" i="85"/>
  <c r="E117" i="85"/>
  <c r="G117" i="85"/>
  <c r="C118" i="85"/>
  <c r="D118" i="85"/>
  <c r="E118" i="85"/>
  <c r="G118" i="85"/>
  <c r="C119" i="85"/>
  <c r="D45" i="23"/>
  <c r="D119" i="85"/>
  <c r="E119" i="85"/>
  <c r="G119" i="85"/>
  <c r="C120" i="85"/>
  <c r="E45" i="23"/>
  <c r="E27" i="68"/>
  <c r="D47" i="21"/>
  <c r="D49" i="21"/>
  <c r="E113" i="29"/>
  <c r="E26" i="68"/>
  <c r="G45" i="23"/>
  <c r="D120" i="85"/>
  <c r="E120" i="85"/>
  <c r="G120" i="85"/>
  <c r="C121" i="85"/>
  <c r="C46" i="23"/>
  <c r="D28" i="69"/>
  <c r="D31" i="69"/>
  <c r="E115" i="29"/>
  <c r="E117" i="29"/>
  <c r="D121" i="85"/>
  <c r="E121" i="85"/>
  <c r="G121" i="85"/>
  <c r="C122" i="85"/>
  <c r="D96" i="22"/>
  <c r="D99" i="22"/>
  <c r="D100" i="22"/>
  <c r="D50" i="21"/>
  <c r="E30" i="68"/>
  <c r="D51" i="21"/>
  <c r="D122" i="85"/>
  <c r="E122" i="85"/>
  <c r="G122" i="85"/>
  <c r="C123" i="85"/>
  <c r="D46" i="23"/>
  <c r="D58" i="21"/>
  <c r="E58" i="29"/>
  <c r="E63" i="29"/>
  <c r="E67" i="29"/>
  <c r="E80" i="29"/>
  <c r="F95" i="29"/>
  <c r="F98" i="29"/>
  <c r="F99" i="29"/>
  <c r="E31" i="68"/>
  <c r="E34" i="68"/>
  <c r="E35" i="68"/>
  <c r="E37" i="68"/>
  <c r="F36" i="68"/>
  <c r="D55" i="21"/>
  <c r="D123" i="85"/>
  <c r="E46" i="23"/>
  <c r="D37" i="69"/>
  <c r="D39" i="69"/>
  <c r="D41" i="69"/>
  <c r="D43" i="69"/>
  <c r="F9" i="29"/>
  <c r="F14" i="29"/>
  <c r="F15" i="29"/>
  <c r="D8" i="69"/>
  <c r="D11" i="69"/>
  <c r="D20" i="69"/>
  <c r="E123" i="85"/>
  <c r="G123" i="85"/>
  <c r="C124" i="85"/>
  <c r="E47" i="85"/>
  <c r="E49" i="85"/>
  <c r="E273" i="85"/>
  <c r="E274" i="85"/>
  <c r="E278" i="85"/>
  <c r="G46" i="23"/>
  <c r="C47" i="23"/>
  <c r="D46" i="69"/>
  <c r="E36" i="69"/>
  <c r="D47" i="23"/>
  <c r="E57" i="85"/>
  <c r="E60" i="85"/>
  <c r="E61" i="85"/>
  <c r="E50" i="85"/>
  <c r="E51" i="85"/>
  <c r="D124" i="85"/>
  <c r="F170" i="85"/>
  <c r="F175" i="85"/>
  <c r="F256" i="85"/>
  <c r="F259" i="85"/>
  <c r="F260" i="85"/>
  <c r="E219" i="85"/>
  <c r="E224" i="85"/>
  <c r="E228" i="85"/>
  <c r="E241" i="85"/>
  <c r="E47" i="23"/>
  <c r="E124" i="85"/>
  <c r="G124" i="85"/>
  <c r="C125" i="85"/>
  <c r="D125" i="85"/>
  <c r="G47" i="23"/>
  <c r="C48" i="23"/>
  <c r="F176" i="85"/>
  <c r="D48" i="23"/>
  <c r="E125" i="85"/>
  <c r="G125" i="85"/>
  <c r="C126" i="85"/>
  <c r="D126" i="85"/>
  <c r="E48" i="23"/>
  <c r="G48" i="23"/>
  <c r="C49" i="23"/>
  <c r="E126" i="85"/>
  <c r="G126" i="85"/>
  <c r="C127" i="85"/>
  <c r="D127" i="85"/>
  <c r="D49" i="23"/>
  <c r="E49" i="23"/>
  <c r="E127" i="85"/>
  <c r="G127" i="85"/>
  <c r="C128" i="85"/>
  <c r="D128" i="85"/>
  <c r="G49" i="23"/>
  <c r="C50" i="23"/>
  <c r="D50" i="23"/>
  <c r="E128" i="85"/>
  <c r="G128" i="85"/>
  <c r="C129" i="85"/>
  <c r="D129" i="85"/>
  <c r="E129" i="85"/>
  <c r="G129" i="85"/>
  <c r="C130" i="85"/>
  <c r="E50" i="23"/>
  <c r="D130" i="85"/>
  <c r="E130" i="85"/>
  <c r="G130" i="85"/>
  <c r="C131" i="85"/>
  <c r="G50" i="23"/>
  <c r="C51" i="23"/>
  <c r="D131" i="85"/>
  <c r="E131" i="85"/>
  <c r="G131" i="85"/>
  <c r="C132" i="85"/>
  <c r="D51" i="23"/>
  <c r="E51" i="23"/>
  <c r="G51" i="23"/>
  <c r="C52" i="23"/>
  <c r="D52" i="23"/>
  <c r="E52" i="23"/>
  <c r="G52" i="23"/>
  <c r="C53" i="23"/>
  <c r="D132" i="85"/>
  <c r="E132" i="85"/>
  <c r="G132" i="85"/>
  <c r="C133" i="85"/>
  <c r="D133" i="85"/>
  <c r="E133" i="85"/>
  <c r="G133" i="85"/>
  <c r="C134" i="85"/>
  <c r="D53" i="23"/>
  <c r="E53" i="23"/>
  <c r="G53" i="23"/>
  <c r="C54" i="23"/>
  <c r="D54" i="23"/>
  <c r="E54" i="23"/>
  <c r="G54" i="23"/>
  <c r="C55" i="23"/>
  <c r="D134" i="85"/>
  <c r="E134" i="85"/>
  <c r="G134" i="85"/>
  <c r="C135" i="85"/>
  <c r="D135" i="85"/>
  <c r="D55" i="23"/>
  <c r="E55" i="23"/>
  <c r="G55" i="23"/>
  <c r="C56" i="23"/>
  <c r="D56" i="23"/>
  <c r="E56" i="23"/>
  <c r="G56" i="23"/>
  <c r="C57" i="23"/>
  <c r="E135" i="85"/>
  <c r="G135" i="85"/>
  <c r="C136" i="85"/>
  <c r="F47" i="85"/>
  <c r="F49" i="85"/>
  <c r="F273" i="85"/>
  <c r="F274" i="85"/>
  <c r="F278" i="85"/>
  <c r="F57" i="85"/>
  <c r="F60" i="85"/>
  <c r="F61" i="85"/>
  <c r="F50" i="85"/>
  <c r="F51" i="85"/>
  <c r="D57" i="23"/>
  <c r="D136" i="85"/>
  <c r="F241" i="85"/>
  <c r="G170" i="85"/>
  <c r="G175" i="85"/>
  <c r="G256" i="85"/>
  <c r="G259" i="85"/>
  <c r="F219" i="85"/>
  <c r="F224" i="85"/>
  <c r="F228" i="85"/>
  <c r="E57" i="23"/>
  <c r="F27" i="68"/>
  <c r="E136" i="85"/>
  <c r="G136" i="85"/>
  <c r="C137" i="85"/>
  <c r="C262" i="85"/>
  <c r="G260" i="85"/>
  <c r="F113" i="29"/>
  <c r="E47" i="21"/>
  <c r="E49" i="21"/>
  <c r="G176" i="85"/>
  <c r="D137" i="85"/>
  <c r="F26" i="68"/>
  <c r="G57" i="23"/>
  <c r="E137" i="85"/>
  <c r="G137" i="85"/>
  <c r="C138" i="85"/>
  <c r="E96" i="22"/>
  <c r="E99" i="22"/>
  <c r="E100" i="22"/>
  <c r="E50" i="21"/>
  <c r="F30" i="68"/>
  <c r="C58" i="23"/>
  <c r="E28" i="69"/>
  <c r="E31" i="69"/>
  <c r="F115" i="29"/>
  <c r="F117" i="29"/>
  <c r="D58" i="23"/>
  <c r="E51" i="21"/>
  <c r="D138" i="85"/>
  <c r="F80" i="29"/>
  <c r="F58" i="29"/>
  <c r="F63" i="29"/>
  <c r="F67" i="29"/>
  <c r="G95" i="29"/>
  <c r="G98" i="29"/>
  <c r="G99" i="29"/>
  <c r="F31" i="68"/>
  <c r="F34" i="68"/>
  <c r="F35" i="68"/>
  <c r="F37" i="68"/>
  <c r="E58" i="21"/>
  <c r="E138" i="85"/>
  <c r="G138" i="85"/>
  <c r="C139" i="85"/>
  <c r="E58" i="23"/>
  <c r="D139" i="85"/>
  <c r="G36" i="68"/>
  <c r="E8" i="69"/>
  <c r="E11" i="69"/>
  <c r="E20" i="69"/>
  <c r="E55" i="21"/>
  <c r="G58" i="23"/>
  <c r="C59" i="23"/>
  <c r="E37" i="69"/>
  <c r="E39" i="69"/>
  <c r="F36" i="69"/>
  <c r="G9" i="29"/>
  <c r="G14" i="29"/>
  <c r="G15" i="29"/>
  <c r="D59" i="23"/>
  <c r="E139" i="85"/>
  <c r="G139" i="85"/>
  <c r="C140" i="85"/>
  <c r="E41" i="69"/>
  <c r="E43" i="69"/>
  <c r="E46" i="69"/>
  <c r="E59" i="23"/>
  <c r="D140" i="85"/>
  <c r="E140" i="85"/>
  <c r="G140" i="85"/>
  <c r="C141" i="85"/>
  <c r="G59" i="23"/>
  <c r="C60" i="23"/>
  <c r="D60" i="23"/>
  <c r="D141" i="85"/>
  <c r="E141" i="85"/>
  <c r="G141" i="85"/>
  <c r="C142" i="85"/>
  <c r="D142" i="85"/>
  <c r="E142" i="85"/>
  <c r="G142" i="85"/>
  <c r="C143" i="85"/>
  <c r="E60" i="23"/>
  <c r="D143" i="85"/>
  <c r="E143" i="85"/>
  <c r="G143" i="85"/>
  <c r="C144" i="85"/>
  <c r="G60" i="23"/>
  <c r="C61" i="23"/>
  <c r="D144" i="85"/>
  <c r="E144" i="85"/>
  <c r="G144" i="85"/>
  <c r="C145" i="85"/>
  <c r="D61" i="23"/>
  <c r="D145" i="85"/>
  <c r="E145" i="85"/>
  <c r="G145" i="85"/>
  <c r="C146" i="85"/>
  <c r="E61" i="23"/>
  <c r="D146" i="85"/>
  <c r="E146" i="85"/>
  <c r="G146" i="85"/>
  <c r="C147" i="85"/>
  <c r="G61" i="23"/>
  <c r="C62" i="23"/>
  <c r="D147" i="85"/>
  <c r="D62" i="23"/>
  <c r="E62" i="23"/>
  <c r="E147" i="85"/>
  <c r="G147" i="85"/>
  <c r="C148" i="85"/>
  <c r="G47" i="85"/>
  <c r="G49" i="85"/>
  <c r="G273" i="85"/>
  <c r="G274" i="85"/>
  <c r="G278" i="85"/>
  <c r="G57" i="85"/>
  <c r="G60" i="85"/>
  <c r="G61" i="85"/>
  <c r="G50" i="85"/>
  <c r="G51" i="85"/>
  <c r="D148" i="85"/>
  <c r="G62" i="23"/>
  <c r="C63" i="23"/>
  <c r="E148" i="85"/>
  <c r="G148" i="85"/>
  <c r="C149" i="85"/>
  <c r="D63" i="23"/>
  <c r="E63" i="23"/>
  <c r="G63" i="23"/>
  <c r="C64" i="23"/>
  <c r="H170" i="85"/>
  <c r="H175" i="85"/>
  <c r="G241" i="85"/>
  <c r="G219" i="85"/>
  <c r="G224" i="85"/>
  <c r="G228" i="85"/>
  <c r="H256" i="85"/>
  <c r="H259" i="85"/>
  <c r="H260" i="85"/>
  <c r="D64" i="23"/>
  <c r="E64" i="23"/>
  <c r="G64" i="23"/>
  <c r="C65" i="23"/>
  <c r="H176" i="85"/>
  <c r="D149" i="85"/>
  <c r="D65" i="23"/>
  <c r="E65" i="23"/>
  <c r="G65" i="23"/>
  <c r="C66" i="23"/>
  <c r="E149" i="85"/>
  <c r="G149" i="85"/>
  <c r="C150" i="85"/>
  <c r="D150" i="85"/>
  <c r="D66" i="23"/>
  <c r="E66" i="23"/>
  <c r="G66" i="23"/>
  <c r="C67" i="23"/>
  <c r="D67" i="23"/>
  <c r="E67" i="23"/>
  <c r="G67" i="23"/>
  <c r="C68" i="23"/>
  <c r="E150" i="85"/>
  <c r="G150" i="85"/>
  <c r="C151" i="85"/>
  <c r="D151" i="85"/>
  <c r="D68" i="23"/>
  <c r="E68" i="23"/>
  <c r="G68" i="23"/>
  <c r="C69" i="23"/>
  <c r="D69" i="23"/>
  <c r="E151" i="85"/>
  <c r="G151" i="85"/>
  <c r="C152" i="85"/>
  <c r="D152" i="85"/>
  <c r="E69" i="23"/>
  <c r="G27" i="68"/>
  <c r="G26" i="68"/>
  <c r="G69" i="23"/>
  <c r="F47" i="21"/>
  <c r="F49" i="21"/>
  <c r="G113" i="29"/>
  <c r="E152" i="85"/>
  <c r="G152" i="85"/>
  <c r="C153" i="85"/>
  <c r="F96" i="22"/>
  <c r="F99" i="22"/>
  <c r="F100" i="22"/>
  <c r="F50" i="21"/>
  <c r="G30" i="68"/>
  <c r="C70" i="23"/>
  <c r="F28" i="69"/>
  <c r="F31" i="69"/>
  <c r="D153" i="85"/>
  <c r="E153" i="85"/>
  <c r="G153" i="85"/>
  <c r="C154" i="85"/>
  <c r="G115" i="29"/>
  <c r="G117" i="29"/>
  <c r="C119" i="29"/>
  <c r="D154" i="85"/>
  <c r="E154" i="85"/>
  <c r="G154" i="85"/>
  <c r="C155" i="85"/>
  <c r="D70" i="23"/>
  <c r="F51" i="21"/>
  <c r="I7" i="90"/>
  <c r="D33" i="62"/>
  <c r="D155" i="85"/>
  <c r="E155" i="85"/>
  <c r="G155" i="85"/>
  <c r="C156" i="85"/>
  <c r="E70" i="23"/>
  <c r="H95" i="29"/>
  <c r="H98" i="29"/>
  <c r="G58" i="29"/>
  <c r="G63" i="29"/>
  <c r="G67" i="29"/>
  <c r="G31" i="68"/>
  <c r="G34" i="68"/>
  <c r="G35" i="68"/>
  <c r="G37" i="68"/>
  <c r="G80" i="29"/>
  <c r="F58" i="21"/>
  <c r="D156" i="85"/>
  <c r="E156" i="85"/>
  <c r="G156" i="85"/>
  <c r="C157" i="85"/>
  <c r="H36" i="68"/>
  <c r="F8" i="69"/>
  <c r="F11" i="69"/>
  <c r="F20" i="69"/>
  <c r="F55" i="21"/>
  <c r="G70" i="23"/>
  <c r="C71" i="23"/>
  <c r="H99" i="29"/>
  <c r="D101" i="29"/>
  <c r="D32" i="62"/>
  <c r="F37" i="69"/>
  <c r="F39" i="69"/>
  <c r="F41" i="69"/>
  <c r="F43" i="69"/>
  <c r="F46" i="69"/>
  <c r="H9" i="29"/>
  <c r="H14" i="29"/>
  <c r="H15" i="29"/>
  <c r="D157" i="85"/>
  <c r="E157" i="85"/>
  <c r="G157" i="85"/>
  <c r="C158" i="85"/>
  <c r="D71" i="23"/>
  <c r="G36" i="69"/>
  <c r="D158" i="85"/>
  <c r="E158" i="85"/>
  <c r="G158" i="85"/>
  <c r="C159" i="85"/>
  <c r="E71" i="23"/>
  <c r="G71" i="23"/>
  <c r="C72" i="23"/>
  <c r="D159" i="85"/>
  <c r="E159" i="85"/>
  <c r="G159" i="85"/>
  <c r="H47" i="85"/>
  <c r="H49" i="85"/>
  <c r="H273" i="85"/>
  <c r="H274" i="85"/>
  <c r="H278" i="85"/>
  <c r="B280" i="85"/>
  <c r="D72" i="23"/>
  <c r="E72" i="23"/>
  <c r="H57" i="85"/>
  <c r="H60" i="85"/>
  <c r="H61" i="85"/>
  <c r="H50" i="85"/>
  <c r="H51" i="85"/>
  <c r="H219" i="85"/>
  <c r="H224" i="85"/>
  <c r="H228" i="85"/>
  <c r="B230" i="85"/>
  <c r="B234" i="85"/>
  <c r="H241" i="85"/>
  <c r="B243" i="85"/>
  <c r="B246" i="85"/>
  <c r="I256" i="85"/>
  <c r="I259" i="85"/>
  <c r="I260" i="85"/>
  <c r="I170" i="85"/>
  <c r="I175" i="85"/>
  <c r="G72" i="23"/>
  <c r="C73" i="23"/>
  <c r="I176" i="85"/>
  <c r="B177" i="85"/>
  <c r="D73" i="23"/>
  <c r="E73" i="23"/>
  <c r="C179" i="85"/>
  <c r="D179" i="85"/>
  <c r="C180" i="85"/>
  <c r="G73" i="23"/>
  <c r="C74" i="23"/>
  <c r="D74" i="23"/>
  <c r="E179" i="85"/>
  <c r="D180" i="85"/>
  <c r="F179" i="85"/>
  <c r="E180" i="85"/>
  <c r="E74" i="23"/>
  <c r="G74" i="23"/>
  <c r="C75" i="23"/>
  <c r="G179" i="85"/>
  <c r="F180" i="85"/>
  <c r="H179" i="85"/>
  <c r="G180" i="85"/>
  <c r="D75" i="23"/>
  <c r="E75" i="23"/>
  <c r="G75" i="23"/>
  <c r="C76" i="23"/>
  <c r="D76" i="23"/>
  <c r="E76" i="23"/>
  <c r="G76" i="23"/>
  <c r="C77" i="23"/>
  <c r="I179" i="85"/>
  <c r="I180" i="85"/>
  <c r="H180" i="85"/>
  <c r="C181" i="85"/>
  <c r="E184" i="85"/>
  <c r="D77" i="23"/>
  <c r="E77" i="23"/>
  <c r="G77" i="23"/>
  <c r="C78" i="23"/>
  <c r="D78" i="23"/>
  <c r="E78" i="23"/>
  <c r="G78" i="23"/>
  <c r="C79" i="23"/>
  <c r="D79" i="23"/>
  <c r="E79" i="23"/>
  <c r="G79" i="23"/>
  <c r="C80" i="23"/>
  <c r="D80" i="23"/>
  <c r="E80" i="23"/>
  <c r="G80" i="23"/>
  <c r="C81" i="23"/>
  <c r="D81" i="23"/>
  <c r="E81" i="23"/>
  <c r="H27" i="68"/>
  <c r="H113" i="29"/>
  <c r="G47" i="21"/>
  <c r="G49" i="21"/>
  <c r="H26" i="68"/>
  <c r="G81" i="23"/>
  <c r="G96" i="22"/>
  <c r="G99" i="22"/>
  <c r="G100" i="22"/>
  <c r="G50" i="21"/>
  <c r="H30" i="68"/>
  <c r="C82" i="23"/>
  <c r="G28" i="69"/>
  <c r="G31" i="69"/>
  <c r="H115" i="29"/>
  <c r="D82" i="23"/>
  <c r="G51" i="21"/>
  <c r="E82" i="23"/>
  <c r="I95" i="29"/>
  <c r="I98" i="29"/>
  <c r="I99" i="29"/>
  <c r="H58" i="29"/>
  <c r="H63" i="29"/>
  <c r="H67" i="29"/>
  <c r="H80" i="29"/>
  <c r="H31" i="68"/>
  <c r="H34" i="68"/>
  <c r="H35" i="68"/>
  <c r="H37" i="68"/>
  <c r="G58" i="21"/>
  <c r="G8" i="69"/>
  <c r="G11" i="69"/>
  <c r="G20" i="69"/>
  <c r="I36" i="68"/>
  <c r="G55" i="21"/>
  <c r="G82" i="23"/>
  <c r="C83" i="23"/>
  <c r="G37" i="69"/>
  <c r="G39" i="69"/>
  <c r="H36" i="69"/>
  <c r="I9" i="29"/>
  <c r="I14" i="29"/>
  <c r="I15" i="29"/>
  <c r="D83" i="23"/>
  <c r="G41" i="69"/>
  <c r="G43" i="69"/>
  <c r="G46" i="69"/>
  <c r="E83" i="23"/>
  <c r="G83" i="23"/>
  <c r="C84" i="23"/>
  <c r="D84" i="23"/>
  <c r="E84" i="23"/>
  <c r="G84" i="23"/>
  <c r="C85" i="23"/>
  <c r="D85" i="23"/>
  <c r="E85" i="23"/>
  <c r="G85" i="23"/>
  <c r="C86" i="23"/>
  <c r="D86" i="23"/>
  <c r="E86" i="23"/>
  <c r="G86" i="23"/>
  <c r="C87" i="23"/>
  <c r="D87" i="23"/>
  <c r="E87" i="23"/>
  <c r="G87" i="23"/>
  <c r="C88" i="23"/>
  <c r="D88" i="23"/>
  <c r="E88" i="23"/>
  <c r="G88" i="23"/>
  <c r="C89" i="23"/>
  <c r="D89" i="23"/>
  <c r="E89" i="23"/>
  <c r="G89" i="23"/>
  <c r="C90" i="23"/>
  <c r="D90" i="23"/>
  <c r="E90" i="23"/>
  <c r="G90" i="23"/>
  <c r="C91" i="23"/>
  <c r="D91" i="23"/>
  <c r="E91" i="23"/>
  <c r="G91" i="23"/>
  <c r="C92" i="23"/>
  <c r="D92" i="23"/>
  <c r="E92" i="23"/>
  <c r="G92" i="23"/>
  <c r="C93" i="23"/>
  <c r="D93" i="23"/>
  <c r="E93" i="23"/>
  <c r="D94" i="23"/>
  <c r="I27" i="68"/>
  <c r="H47" i="21"/>
  <c r="H49" i="21"/>
  <c r="I113" i="29"/>
  <c r="E94" i="23"/>
  <c r="I26" i="68"/>
  <c r="G93" i="23"/>
  <c r="I115" i="29"/>
  <c r="H96" i="22"/>
  <c r="H99" i="22"/>
  <c r="H100" i="22"/>
  <c r="H50" i="21"/>
  <c r="I30" i="68"/>
  <c r="H51" i="21"/>
  <c r="I31" i="68"/>
  <c r="I34" i="68"/>
  <c r="I35" i="68"/>
  <c r="I37" i="68"/>
  <c r="H8" i="69"/>
  <c r="H11" i="69"/>
  <c r="H20" i="69"/>
  <c r="J95" i="29"/>
  <c r="J98" i="29"/>
  <c r="J99" i="29"/>
  <c r="I80" i="29"/>
  <c r="C82" i="29"/>
  <c r="C85" i="29"/>
  <c r="I58" i="29"/>
  <c r="I63" i="29"/>
  <c r="I67" i="29"/>
  <c r="C69" i="29"/>
  <c r="C73" i="29"/>
  <c r="H58" i="21"/>
  <c r="H55" i="21"/>
  <c r="H7" i="90"/>
  <c r="D29" i="62"/>
  <c r="D31" i="62"/>
  <c r="F7" i="90"/>
  <c r="H37" i="69"/>
  <c r="H39" i="69"/>
  <c r="H41" i="69"/>
  <c r="H43" i="69"/>
  <c r="H46" i="69"/>
  <c r="J9" i="29"/>
  <c r="J14" i="29"/>
  <c r="J15" i="29"/>
  <c r="C16" i="29"/>
  <c r="D18" i="29"/>
  <c r="D30" i="62"/>
  <c r="E7" i="90"/>
  <c r="E18" i="29"/>
  <c r="D19" i="29"/>
  <c r="F18" i="29"/>
  <c r="E19" i="29"/>
  <c r="G18" i="29"/>
  <c r="F19" i="29"/>
  <c r="H18" i="29"/>
  <c r="G19" i="29"/>
  <c r="I18" i="29"/>
  <c r="H19" i="29"/>
  <c r="J18" i="29"/>
  <c r="J19" i="29"/>
  <c r="I19" i="29"/>
  <c r="D20" i="29"/>
  <c r="F23" i="29"/>
</calcChain>
</file>

<file path=xl/sharedStrings.xml><?xml version="1.0" encoding="utf-8"?>
<sst xmlns="http://schemas.openxmlformats.org/spreadsheetml/2006/main" count="1960" uniqueCount="898">
  <si>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</si>
  <si>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</si>
  <si>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</si>
  <si>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</si>
  <si>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</si>
  <si>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</si>
  <si>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</si>
  <si>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</si>
  <si>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</si>
  <si>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</si>
  <si>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</si>
  <si>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</si>
  <si>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</si>
  <si>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</si>
  <si>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</si>
  <si>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</si>
  <si>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</si>
  <si>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</si>
  <si>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</si>
  <si>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</si>
  <si>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</si>
  <si>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</si>
  <si>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</si>
  <si>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</si>
  <si>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</si>
  <si>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</si>
  <si>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</si>
  <si>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</si>
  <si>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</si>
  <si>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</si>
  <si>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</si>
  <si>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</si>
  <si>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</si>
  <si>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</si>
  <si>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</si>
  <si>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</si>
  <si>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</si>
  <si>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</si>
  <si>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</si>
  <si>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</si>
  <si>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</si>
  <si>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</si>
  <si>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</si>
  <si>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</si>
  <si>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</si>
  <si>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</si>
  <si>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</si>
  <si>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</si>
  <si>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</si>
  <si>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</si>
  <si>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</si>
  <si>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</si>
  <si>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</si>
  <si>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</si>
  <si>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</si>
  <si>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</si>
  <si>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</si>
  <si>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</si>
  <si>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</si>
  <si>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</si>
  <si>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</si>
  <si>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</si>
  <si>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</si>
  <si>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</si>
  <si>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</si>
  <si>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</si>
  <si>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</si>
  <si>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</si>
  <si>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</si>
  <si>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</si>
  <si>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</si>
  <si>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</si>
  <si>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</si>
  <si>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</si>
  <si>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</si>
  <si>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</si>
  <si>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</si>
  <si>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</si>
  <si>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</si>
  <si>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</si>
  <si>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</si>
  <si>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</si>
  <si>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</si>
  <si>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</si>
  <si>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</si>
  <si>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</si>
  <si>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</si>
  <si>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</si>
  <si>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</si>
  <si>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</si>
  <si>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</si>
  <si>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</si>
  <si>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</si>
  <si>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</si>
  <si>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</si>
  <si>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</si>
  <si>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</si>
  <si>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</si>
  <si>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</si>
  <si>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</si>
  <si>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</si>
  <si>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</si>
  <si>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</si>
  <si>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</si>
  <si>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</si>
  <si>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</si>
  <si>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</si>
  <si>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</si>
  <si>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</si>
  <si>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</si>
  <si>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</si>
  <si>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</si>
  <si>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</si>
  <si>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</si>
  <si>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</si>
  <si>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</si>
  <si>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</si>
  <si>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</si>
  <si>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</si>
  <si>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</si>
  <si>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</si>
  <si>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</si>
  <si>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</si>
  <si>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</si>
  <si>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</si>
  <si>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</si>
  <si>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</si>
  <si>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</si>
  <si>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</si>
  <si>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</si>
  <si>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</si>
  <si>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</si>
  <si>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</si>
  <si>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</si>
  <si>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</si>
  <si>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</si>
  <si>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</si>
  <si>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</si>
  <si>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</si>
  <si>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</si>
  <si>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Dal Mill</t>
  </si>
  <si>
    <t>Husk and Powder</t>
  </si>
  <si>
    <t>Expenses</t>
  </si>
  <si>
    <t>Total Revenue</t>
  </si>
  <si>
    <t>Electricity Charges</t>
  </si>
  <si>
    <t>Sr. No.</t>
  </si>
  <si>
    <t>No. of Unit</t>
  </si>
  <si>
    <t>Rate per unit</t>
  </si>
  <si>
    <t>Land</t>
  </si>
  <si>
    <t>Sq. ft.</t>
  </si>
  <si>
    <t>Description</t>
  </si>
  <si>
    <t>No. Required</t>
  </si>
  <si>
    <t>Rate</t>
  </si>
  <si>
    <t>Total HP</t>
  </si>
  <si>
    <t>Land and Building</t>
  </si>
  <si>
    <t>Machinery and Equipment</t>
  </si>
  <si>
    <t>Working Capital</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</si>
  <si>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</si>
  <si>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</si>
  <si>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</si>
  <si>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</si>
  <si>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</si>
  <si>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</si>
  <si>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</si>
  <si>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</si>
  <si>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</si>
  <si>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</si>
  <si>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</si>
  <si>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</si>
  <si>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</si>
  <si>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</si>
  <si>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</si>
  <si>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</si>
  <si>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</si>
  <si>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</si>
  <si>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</si>
  <si>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</si>
  <si>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</si>
  <si>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</si>
  <si>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</si>
  <si>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</si>
  <si>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</si>
  <si>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</si>
  <si>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</si>
  <si>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</si>
  <si>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</si>
  <si>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</si>
  <si>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</si>
  <si>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</si>
  <si>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</si>
  <si>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</si>
  <si>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</si>
  <si>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</si>
  <si>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</si>
  <si>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</si>
  <si>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</si>
  <si>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</si>
  <si>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</si>
  <si>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</si>
  <si>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</si>
  <si>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</si>
  <si>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</si>
  <si>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</si>
  <si>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</si>
  <si>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</si>
  <si>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</si>
  <si>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</si>
  <si>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</si>
  <si>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</si>
  <si>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</si>
  <si>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</si>
  <si>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</si>
  <si>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</si>
  <si>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</si>
  <si>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</si>
  <si>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</si>
  <si>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</si>
  <si>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</si>
  <si>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</si>
  <si>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</si>
  <si>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</si>
  <si>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</si>
  <si>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</si>
  <si>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</si>
  <si>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</si>
  <si>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</si>
  <si>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</si>
  <si>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</si>
  <si>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</si>
  <si>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Grant</t>
  </si>
  <si>
    <t>Long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</si>
  <si>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</si>
  <si>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</si>
  <si>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</si>
  <si>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</si>
  <si>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</si>
  <si>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</si>
  <si>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</si>
  <si>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</si>
  <si>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</si>
  <si>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</si>
  <si>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</si>
  <si>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</si>
  <si>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</si>
  <si>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</si>
  <si>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</si>
  <si>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</si>
  <si>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</si>
  <si>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</si>
  <si>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</si>
  <si>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</si>
  <si>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</si>
  <si>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</si>
  <si>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</si>
  <si>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</si>
  <si>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</si>
  <si>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</si>
  <si>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</si>
  <si>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</si>
  <si>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</si>
  <si>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</si>
  <si>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</si>
  <si>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</si>
  <si>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</si>
  <si>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</si>
  <si>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</si>
  <si>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</si>
  <si>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</si>
  <si>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</si>
  <si>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</si>
  <si>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</si>
  <si>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</si>
  <si>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</si>
  <si>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</si>
  <si>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</si>
  <si>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</si>
  <si>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</si>
  <si>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</si>
  <si>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</si>
  <si>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</si>
  <si>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</si>
  <si>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</si>
  <si>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</si>
  <si>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</si>
  <si>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</si>
  <si>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</si>
  <si>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</si>
  <si>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</si>
  <si>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</si>
  <si>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</si>
  <si>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</si>
  <si>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</si>
  <si>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</si>
  <si>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</si>
  <si>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</si>
  <si>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</si>
  <si>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</si>
  <si>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</si>
  <si>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</si>
  <si>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</si>
  <si>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</si>
  <si>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</si>
  <si>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</si>
  <si>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</si>
  <si>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</si>
  <si>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</si>
  <si>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Variable Cost</t>
  </si>
  <si>
    <t>Operating Income</t>
  </si>
  <si>
    <t>Operaing Income</t>
  </si>
  <si>
    <t>Black Gram</t>
  </si>
  <si>
    <t>Green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</si>
  <si>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</si>
  <si>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</si>
  <si>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</si>
  <si>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</si>
  <si>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</si>
  <si>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</si>
  <si>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</si>
  <si>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</si>
  <si>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</si>
  <si>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 xml:space="preserve"> Manager</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</si>
  <si>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</si>
  <si>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</si>
  <si>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</si>
  <si>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</si>
  <si>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</si>
  <si>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</si>
  <si>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</si>
  <si>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</si>
  <si>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</si>
  <si>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</si>
  <si>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</si>
  <si>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</si>
  <si>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</si>
  <si>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</si>
  <si>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</si>
  <si>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</si>
  <si>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</si>
  <si>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</si>
  <si>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</si>
  <si>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</si>
  <si>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</si>
  <si>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</si>
  <si>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</si>
  <si>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</si>
  <si>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</si>
  <si>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</si>
  <si>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</si>
  <si>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</si>
  <si>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</si>
  <si>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</si>
  <si>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</si>
  <si>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</si>
  <si>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50 Kg</t>
  </si>
  <si>
    <t>Kg</t>
  </si>
  <si>
    <t>Quintals</t>
  </si>
  <si>
    <t>Custom Hiring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</si>
  <si>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</si>
  <si>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</si>
  <si>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</si>
  <si>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</si>
  <si>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</si>
  <si>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</si>
  <si>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</si>
  <si>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</si>
  <si>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</si>
  <si>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</si>
  <si>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</si>
  <si>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</si>
  <si>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</si>
  <si>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</si>
  <si>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Avg. Return on Capital Employed Average (ROCE)</t>
  </si>
  <si>
    <t>Internal Rate of Return (IRR)</t>
  </si>
  <si>
    <t>Net present value (at a discount rate of 10 per cent)</t>
  </si>
  <si>
    <t>Payback period</t>
  </si>
  <si>
    <t>Debt Service Coverage Ratio (DSCR)</t>
  </si>
  <si>
    <t>No.of Unit</t>
  </si>
  <si>
    <t>No.</t>
  </si>
  <si>
    <t>Months</t>
  </si>
  <si>
    <t>Lumsum</t>
  </si>
  <si>
    <t>Maximum Tax rate</t>
  </si>
  <si>
    <t>Season</t>
  </si>
  <si>
    <t>Crop</t>
  </si>
  <si>
    <t>Total Production (In Quintals)</t>
  </si>
  <si>
    <t>Marketable Surplus ( In Quintals)</t>
  </si>
  <si>
    <t>Kharif</t>
  </si>
  <si>
    <t>Maize</t>
  </si>
  <si>
    <t>Rabbi</t>
  </si>
  <si>
    <t>Wheat</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</si>
  <si>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</si>
  <si>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</si>
  <si>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</si>
  <si>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</si>
  <si>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</si>
  <si>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</si>
  <si>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</si>
  <si>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</si>
  <si>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</si>
  <si>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</si>
  <si>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</si>
  <si>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</si>
  <si>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</si>
  <si>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</si>
  <si>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</si>
  <si>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</si>
  <si>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</si>
  <si>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</si>
  <si>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</si>
  <si>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</si>
  <si>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</si>
  <si>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</si>
  <si>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</si>
  <si>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</si>
  <si>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</si>
  <si>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</si>
  <si>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</si>
  <si>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</si>
  <si>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</si>
  <si>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</si>
  <si>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Cultivator</t>
  </si>
  <si>
    <t>Rotavator</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</si>
  <si>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</si>
  <si>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</si>
  <si>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</si>
  <si>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</si>
  <si>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</si>
  <si>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</si>
  <si>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</si>
  <si>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</si>
  <si>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</si>
  <si>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</si>
  <si>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</si>
  <si>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</si>
  <si>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</si>
  <si>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</si>
  <si>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</si>
  <si>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Packaging (In Kg)</t>
  </si>
  <si>
    <t>Cultivation In (%)</t>
  </si>
  <si>
    <t>Consuption in (%)</t>
  </si>
  <si>
    <t>No.of Operation Days</t>
  </si>
  <si>
    <t>Quinatal/Hour</t>
  </si>
  <si>
    <t>Trading</t>
  </si>
  <si>
    <t>Process</t>
  </si>
  <si>
    <t>total</t>
  </si>
  <si>
    <t>%</t>
  </si>
  <si>
    <t>Input</t>
  </si>
  <si>
    <t>Total Land under Cultivaion ( In Acres)</t>
  </si>
  <si>
    <t>Yield/Acres  (In Quintals)</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</si>
  <si>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</si>
  <si>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</si>
  <si>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</si>
  <si>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</si>
  <si>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</si>
  <si>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</si>
  <si>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</si>
  <si>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</si>
  <si>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</si>
  <si>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</si>
  <si>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</si>
  <si>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</si>
  <si>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</si>
  <si>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</si>
  <si>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</si>
  <si>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</si>
  <si>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</si>
  <si>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</si>
  <si>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</si>
  <si>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</si>
  <si>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</si>
  <si>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Sunflower</t>
  </si>
  <si>
    <t>Safflower</t>
  </si>
  <si>
    <t>Groundnut</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</si>
  <si>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</si>
  <si>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</si>
  <si>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</si>
  <si>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</si>
  <si>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</si>
  <si>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</si>
  <si>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</si>
  <si>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</si>
  <si>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</si>
  <si>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</si>
  <si>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</si>
  <si>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</si>
  <si>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</si>
  <si>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</si>
  <si>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</si>
  <si>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</si>
  <si>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</si>
  <si>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</si>
  <si>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</si>
  <si>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</si>
  <si>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</si>
  <si>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</si>
  <si>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</si>
  <si>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</si>
  <si>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Grains Crop Production Details</t>
  </si>
  <si>
    <t>Faclitiy 5 - Agri Input Centre</t>
  </si>
  <si>
    <t>Faclitiy 1 - Cleaning &amp; Grading</t>
  </si>
  <si>
    <t>Faclitiy 2 - Processing Unit- Dal Mill</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</si>
  <si>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</si>
  <si>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</si>
  <si>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</si>
  <si>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</si>
  <si>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</si>
  <si>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</si>
  <si>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</si>
  <si>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</si>
  <si>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</si>
  <si>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</si>
  <si>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</si>
  <si>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</si>
  <si>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</si>
  <si>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</si>
  <si>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</si>
  <si>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</si>
  <si>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</si>
  <si>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</si>
  <si>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</si>
  <si>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</si>
  <si>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</si>
  <si>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</si>
  <si>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</si>
  <si>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</si>
  <si>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</si>
  <si>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</si>
  <si>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</si>
  <si>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Assumption:</t>
  </si>
  <si>
    <t>Rate of Interest assumed as 12%</t>
  </si>
  <si>
    <t>Moratorium Period 6 Months</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</si>
  <si>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</si>
  <si>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</si>
  <si>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</si>
  <si>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</si>
  <si>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</si>
  <si>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</si>
  <si>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</si>
  <si>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</si>
  <si>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</si>
  <si>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</si>
  <si>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</si>
  <si>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</si>
  <si>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</si>
  <si>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</si>
  <si>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</si>
  <si>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</si>
  <si>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</si>
  <si>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</si>
  <si>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</si>
  <si>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</si>
  <si>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</si>
  <si>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</si>
  <si>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</si>
  <si>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</si>
  <si>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</si>
  <si>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</si>
  <si>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</si>
  <si>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</si>
  <si>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</si>
  <si>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</si>
  <si>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</si>
  <si>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</si>
  <si>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</si>
  <si>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</si>
  <si>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</si>
  <si>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</si>
  <si>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</si>
  <si>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</si>
  <si>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</si>
  <si>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</si>
  <si>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</si>
  <si>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</si>
  <si>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</si>
  <si>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</si>
  <si>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</si>
  <si>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</si>
  <si>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Facility 2 - Grain Processing Unit - Dal Mill</t>
  </si>
  <si>
    <t>13.1 Producers/ Capacity Utilization</t>
  </si>
  <si>
    <t>13.2 Facility 2 - Profit and loss of Grain Processing Unit - Dal Mill</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</si>
  <si>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</si>
  <si>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</si>
  <si>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</si>
  <si>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</si>
  <si>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</si>
  <si>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</si>
  <si>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</si>
  <si>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</si>
  <si>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</si>
  <si>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</si>
  <si>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</si>
  <si>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</si>
  <si>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</si>
  <si>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</si>
  <si>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</si>
  <si>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Financial ratio</t>
  </si>
  <si>
    <t>Estimated</t>
  </si>
  <si>
    <t>Result</t>
  </si>
  <si>
    <t>Permissible limit</t>
  </si>
  <si>
    <t xml:space="preserve">With a discount rate of 10% and a span of 7 operational years, the NPV should be positive </t>
  </si>
  <si>
    <t>DSCR shall be more than 2 for better performing project.</t>
  </si>
  <si>
    <t xml:space="preserve">1.0 About the calculator </t>
  </si>
  <si>
    <t xml:space="preserve">2.0 Features </t>
  </si>
  <si>
    <t>Steps</t>
  </si>
  <si>
    <t>Sheet No</t>
  </si>
  <si>
    <t>Remark</t>
  </si>
  <si>
    <t>Step-1</t>
  </si>
  <si>
    <t>Grain production details &amp; or F &amp; V production details  (Marketable surplus)</t>
  </si>
  <si>
    <t>Step-2</t>
  </si>
  <si>
    <t xml:space="preserve">CAPEX Details </t>
  </si>
  <si>
    <t>Step-3</t>
  </si>
  <si>
    <t>Other expenditure and taxes</t>
  </si>
  <si>
    <t>Step-4</t>
  </si>
  <si>
    <t xml:space="preserve">Facility-1 / Business activity -Trading </t>
  </si>
  <si>
    <t xml:space="preserve">Facility-2 / Business activity - Processing (Grain, pulses, oilseed) </t>
  </si>
  <si>
    <t>Facility-3 Business activity -Warehouse</t>
  </si>
  <si>
    <t xml:space="preserve">Facility-4 Business activity -Custom hiring </t>
  </si>
  <si>
    <t>Facility-5 Business activity - Agri. Input</t>
  </si>
  <si>
    <t>Facility-6 Business activity -Processing  (Horti. Produce)</t>
  </si>
  <si>
    <t>Step-5</t>
  </si>
  <si>
    <t>Step-6</t>
  </si>
  <si>
    <t xml:space="preserve">Closing stock and working capital </t>
  </si>
  <si>
    <t>Profit and Loss Statement</t>
  </si>
  <si>
    <t>Cash Flow Statement</t>
  </si>
  <si>
    <t>Balance Sheet</t>
  </si>
  <si>
    <t>Financial indicators  (IRR, BEP,NPV, ROI, Pay back period, DSCR, sensitivity analysis )</t>
  </si>
  <si>
    <t>Colour code</t>
  </si>
  <si>
    <t>Step-7</t>
  </si>
  <si>
    <t xml:space="preserve">4.0 Colour codes used </t>
  </si>
  <si>
    <t xml:space="preserve">5.0 Guidance  note for using calculator </t>
  </si>
  <si>
    <t xml:space="preserve">Draft Business Plan Financial Calculator </t>
  </si>
  <si>
    <t>Project cost and Means of finance with financial indicators</t>
  </si>
  <si>
    <t xml:space="preserve">Generate automatically </t>
  </si>
  <si>
    <t>Bank Loan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</si>
  <si>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</si>
  <si>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</si>
  <si>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</si>
  <si>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</si>
  <si>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</si>
  <si>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</si>
  <si>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</si>
  <si>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</si>
  <si>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</si>
  <si>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</si>
  <si>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</si>
  <si>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</si>
  <si>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</si>
  <si>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</si>
  <si>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</si>
  <si>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</si>
  <si>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</si>
  <si>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</si>
  <si>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</si>
  <si>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</si>
  <si>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</si>
  <si>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</si>
  <si>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</si>
  <si>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</si>
  <si>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</si>
  <si>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</si>
  <si>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</si>
  <si>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</si>
  <si>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</si>
  <si>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</si>
  <si>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</si>
  <si>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</si>
  <si>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</si>
  <si>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Sheet No. 3 (3.2 &amp; 3.3)</t>
  </si>
  <si>
    <t>Step-8</t>
  </si>
  <si>
    <t xml:space="preserve">Copy relevant tables in word file of FPP </t>
  </si>
  <si>
    <t>1.0 It helps in preparing financial projections for both type of sub-projects.i.e. Grain and Fruits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 that will helps to understand the project feasible or not</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</si>
  <si>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</si>
  <si>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</si>
  <si>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</si>
  <si>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</si>
  <si>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t>Sheet no.3 (Ref. 3.1 table only)</t>
  </si>
  <si>
    <t xml:space="preserve">RoCE  for the project shall be more than 12% </t>
  </si>
  <si>
    <t>NPV is high and positive at a conservative project life of 5 years</t>
  </si>
  <si>
    <t>Preliminary expenses are considered as prior expenses before the beginning of business or Projects. The eligible amount is 5% of te project cost. Minimum amount is Rs.500000/- and maximum amount is Rs.2000000/-</t>
  </si>
  <si>
    <t>Depriciation percent</t>
  </si>
  <si>
    <t>Depriciation percent as per IT Act</t>
  </si>
  <si>
    <t>Increase in account rpayable</t>
  </si>
  <si>
    <t>Increase in account Receivable</t>
  </si>
  <si>
    <t>Increase in Closing Stock</t>
  </si>
  <si>
    <t>Incease in Short Term Loan</t>
  </si>
  <si>
    <t xml:space="preserve">3.1 Schedule of General Admin Expenses (Fixed) </t>
  </si>
  <si>
    <t>Note</t>
  </si>
  <si>
    <t>The above sheet is indicative for any type of processing business of grain commodities  . The FPO has to fill the sheet logically and as per selected commodities and finish products</t>
  </si>
  <si>
    <t>The above sheet is indicative for any type of processing business of F &amp; V commodities . The FPO has to fill the sheet logically and as per selected commodities and finish products</t>
  </si>
  <si>
    <t>acre</t>
  </si>
  <si>
    <t>Seeds requirement per acre (in kg)</t>
  </si>
  <si>
    <t>seed requirement /acre</t>
  </si>
  <si>
    <t>Fert. Req. per kg.</t>
  </si>
  <si>
    <t>Fertilizers requirment  (in kg)</t>
  </si>
  <si>
    <t>Pesticide requirement  (lit)</t>
  </si>
  <si>
    <t>Rate/kg</t>
  </si>
  <si>
    <t>Rate/lit</t>
  </si>
  <si>
    <t xml:space="preserve">Revenue from selling to farmers </t>
  </si>
  <si>
    <t>FPC purchage rate</t>
  </si>
  <si>
    <t xml:space="preserve">Own Contribution (=Fixed Assets*20%)+Working Capital ) </t>
  </si>
  <si>
    <t>Bank Finance - Long Term Loan (= Total Project Cost- Smart Grant - Own Contribution)</t>
  </si>
  <si>
    <t xml:space="preserve">As Finished Product and  size of Packaging is not confirmed/certain, therefore we can not add formula in processing sheet </t>
  </si>
  <si>
    <t>if it is related to salary it should multiply by 12 months.</t>
  </si>
  <si>
    <t xml:space="preserve">BEP shall be less than 60% </t>
  </si>
  <si>
    <t>Interest on Term loan &amp; WC</t>
  </si>
  <si>
    <t xml:space="preserve">The Pack Back Period (Project/ Equity) shall be less than 7 years </t>
  </si>
  <si>
    <t>No. of Hours in  day</t>
  </si>
  <si>
    <t>No. of Operational Days</t>
  </si>
  <si>
    <t>Capacity Utilization</t>
  </si>
  <si>
    <t>No. of operational days</t>
  </si>
  <si>
    <t>Oil Cake</t>
  </si>
  <si>
    <t>Oil</t>
  </si>
  <si>
    <t>packaging Exp- Oil Packaging</t>
  </si>
  <si>
    <t>Oil Cake Packlaging</t>
  </si>
  <si>
    <t>Combine Harvestor</t>
  </si>
  <si>
    <t>DPR Prepartion</t>
  </si>
  <si>
    <t>Civil Estimation Prepartion</t>
  </si>
  <si>
    <t>Driver for Tractors</t>
  </si>
  <si>
    <t>Rate/Unit</t>
  </si>
  <si>
    <t>Total Amount</t>
  </si>
  <si>
    <t xml:space="preserve">Pre-harvest </t>
  </si>
  <si>
    <t xml:space="preserve">B </t>
  </si>
  <si>
    <t>Post Harvest</t>
  </si>
  <si>
    <t>Others</t>
  </si>
  <si>
    <t>IT &amp; IT Infrastracture</t>
  </si>
  <si>
    <t>Preliminary/Preoperative Expenses</t>
  </si>
  <si>
    <t>Total*</t>
  </si>
  <si>
    <t>* Excluding Working Capital</t>
  </si>
  <si>
    <t>Sr. No</t>
  </si>
  <si>
    <t>Land (Acre)</t>
  </si>
  <si>
    <t>Productivity (ton)</t>
  </si>
  <si>
    <t>15-20</t>
  </si>
  <si>
    <t>Benefit to farmer</t>
  </si>
  <si>
    <t>Current Scenario</t>
  </si>
  <si>
    <t>Average current productivity per acre of Maize(in MT)</t>
  </si>
  <si>
    <t>Total Production of Maize (in MT)</t>
  </si>
  <si>
    <t>Cultivation to harvesting expenditure per acres</t>
  </si>
  <si>
    <t xml:space="preserve">Total Expenditure </t>
  </si>
  <si>
    <t>Packaging</t>
  </si>
  <si>
    <t>Net Revenue to Farmers</t>
  </si>
  <si>
    <t>Rate of Onion per MT</t>
  </si>
  <si>
    <t>Total Expenditure</t>
  </si>
  <si>
    <t>Post Intervention</t>
  </si>
  <si>
    <t>Total Revenue (In Rs.)</t>
  </si>
  <si>
    <t>Increase in Farmers income per acres after FPC intervention</t>
  </si>
  <si>
    <t>Total Land available for Onion per Acre</t>
  </si>
  <si>
    <t>Percentage%</t>
  </si>
  <si>
    <t>Lease Deed</t>
  </si>
  <si>
    <t>Built up</t>
  </si>
  <si>
    <t>GST @ 18%</t>
  </si>
  <si>
    <t>Machine Mainteance</t>
  </si>
  <si>
    <t>Inword-Transportation Charges</t>
  </si>
  <si>
    <t>Outword-Transportation Charges</t>
  </si>
  <si>
    <t>Output- Quantity for sale (In Liters)</t>
  </si>
  <si>
    <t>Total Material to be processed (In Kg)</t>
  </si>
  <si>
    <t>Input (In Kg)</t>
  </si>
  <si>
    <t>25 Litres</t>
  </si>
  <si>
    <t>Activity 2 - Cold Press Oil</t>
  </si>
  <si>
    <t>Operational days in a year (Days)</t>
  </si>
  <si>
    <t>60 Days</t>
  </si>
  <si>
    <t>Agrikot Ak 9X18 Seed Cum Fertilizer</t>
  </si>
  <si>
    <t>Post-Harvest</t>
  </si>
  <si>
    <t>Electricity Connection</t>
  </si>
  <si>
    <t>Whole Year</t>
  </si>
  <si>
    <t>IT &amp; IT Infrastructure</t>
  </si>
  <si>
    <t>240 Days</t>
  </si>
  <si>
    <t>GST @ 12%</t>
  </si>
  <si>
    <t>Solar System</t>
  </si>
  <si>
    <t>E</t>
  </si>
  <si>
    <t>F</t>
  </si>
  <si>
    <t>Kg/Hr</t>
  </si>
  <si>
    <t>50 Ltrs</t>
  </si>
  <si>
    <t>20 Ltrs</t>
  </si>
  <si>
    <t>Paramameter (with grant)</t>
  </si>
  <si>
    <t xml:space="preserve">NPV </t>
  </si>
  <si>
    <t>ROCE</t>
  </si>
  <si>
    <t>DSCR</t>
  </si>
  <si>
    <t>Base Case</t>
  </si>
  <si>
    <t>5% Drop in user Changes</t>
  </si>
  <si>
    <t>10% Drop in user Changes</t>
  </si>
  <si>
    <t>5% fall in capacity utilization</t>
  </si>
  <si>
    <t>10% fall in capacity utilization</t>
  </si>
  <si>
    <t>Processing Line</t>
  </si>
  <si>
    <t>10 Kg</t>
  </si>
  <si>
    <t>Packhouse</t>
  </si>
  <si>
    <t>270 Days</t>
  </si>
  <si>
    <t>Transfer to Reserve Fund</t>
  </si>
  <si>
    <t>Diviended Distribution to members</t>
  </si>
  <si>
    <t>Quality Technician</t>
  </si>
  <si>
    <t>Wooden Computer Table</t>
  </si>
  <si>
    <t>Metal Frame office Table</t>
  </si>
  <si>
    <t>Neelkamal Chair</t>
  </si>
  <si>
    <t>Revolving Chair</t>
  </si>
  <si>
    <t>Airport Threee Seater bench</t>
  </si>
  <si>
    <t>office Store wall Cupboard</t>
  </si>
  <si>
    <t xml:space="preserve">Bazor Rack  </t>
  </si>
  <si>
    <t>Adjust Racks</t>
  </si>
  <si>
    <t>Wooden Counter table</t>
  </si>
  <si>
    <t>Supply and erection of 22 Kv AB Switch, Horn gap Fuses on 10’ Double Pole structure of 100 X 110 mm 9 mtr RSJ poles in 1:4:8 concreting with required fabrication, 63 KVA Distribution Box, proper size cable, DTC metering as per MSEDCL requirement.</t>
  </si>
  <si>
    <t>Supply and erection of 22/0.433 Kv 63 KVA Distribution Transformer with factory testing as per MSEDCL standard.</t>
  </si>
  <si>
    <t>Supply and erection of 22 Kv HT line on 100 X 110 mm RSJ poles with required fabrication, Insulators, aluminum conductors, earthing &amp; guarding if required &amp; in 1:4:8 concreting with average span of 80 mtr</t>
  </si>
  <si>
    <t>Supply and erection of 3 phase 440 Volt LT line on 125X 70 mm RSJ pole</t>
  </si>
  <si>
    <t>Liosening, documentation and traveling for getting sanction in CCRF scheme from CE, MSEDCL Baramati and approval for works executed from Electrical Inspector SATARA</t>
  </si>
  <si>
    <t>Transportation of material &amp; labour, supervision charges T &amp; P and insurance of Material at work site, zanjawad</t>
  </si>
  <si>
    <t>Security deposit, Transformer testing fee &amp; 1.3% Supervision charges toward M.S.E.D.Co.Ltd upto 35 Kw</t>
  </si>
  <si>
    <t>L S</t>
  </si>
  <si>
    <t>GST on Material and Labour</t>
  </si>
  <si>
    <t>Winary Project</t>
  </si>
  <si>
    <t>Batch Pasteurizer (500 L Pasteurization Tank with Agitator)</t>
  </si>
  <si>
    <t>3 Kl Fermentation Tanks (Laser Welded Dimple Jacket)</t>
  </si>
  <si>
    <t>Filtration Plant (Trolley mounted Micro Filter, Plate and frame filter)</t>
  </si>
  <si>
    <t>Process Cooling Plant and air conditioning 5 TR. Skid mounted Air cooled compact chilling system</t>
  </si>
  <si>
    <t>500 LPH Capacity RO+UV water unit designed for tds =500 PPM, TH 200 PPM</t>
  </si>
  <si>
    <t xml:space="preserve">2'' Flexible Hose Pipe for wine transfer </t>
  </si>
  <si>
    <t>SS304 Nut liner SMS 50 for Flexibel hose</t>
  </si>
  <si>
    <t>Centrifugal Pump for wine transfer 3 HP capacity with trolley (pump material SS)</t>
  </si>
  <si>
    <t>300 Ltrs SS304 sum for mixing and general purpose fluid handling with trolley and drain arranegement</t>
  </si>
  <si>
    <t>HP ProDesk 400 G7 MT (44V84PA)</t>
  </si>
  <si>
    <t>HP V19e 18.5'' Monitor</t>
  </si>
  <si>
    <t>Exide Inverter Battery 12V 200 AMP TMTT 2000 Model</t>
  </si>
  <si>
    <t>Onsite Installation and fitting Charges</t>
  </si>
  <si>
    <t>Epson Ecotank L3250 wi-fi all-in-one colour Ink Tank printer</t>
  </si>
  <si>
    <t>Optiplex Desktop 3090</t>
  </si>
  <si>
    <t>GST @ 28%</t>
  </si>
  <si>
    <t>Jain Solar/ Grovatt GTI 10 KW with wifi stick</t>
  </si>
  <si>
    <t>CCTV Installation</t>
  </si>
  <si>
    <t>Fruit Crusher</t>
  </si>
  <si>
    <t>Pulper Single Stage</t>
  </si>
  <si>
    <t>Jacketed Kettle</t>
  </si>
  <si>
    <t>Screw Pump</t>
  </si>
  <si>
    <t>Filling Tank</t>
  </si>
  <si>
    <t>Lug Capping</t>
  </si>
  <si>
    <t>Electrical Panel</t>
  </si>
  <si>
    <t>Piping from kettle to filling tank</t>
  </si>
  <si>
    <t>Erection &amp; Commissioning</t>
  </si>
  <si>
    <t>Electrical fitting</t>
  </si>
  <si>
    <t>Creates</t>
  </si>
  <si>
    <t>JR53300LW (20 Kg)</t>
  </si>
  <si>
    <t>JR53300LW (For Cold Storage)</t>
  </si>
  <si>
    <t>JR53200LLW (10 KG)</t>
  </si>
  <si>
    <t>AP1210MW (Pallets)</t>
  </si>
  <si>
    <t>BF 115055085 YEL (HPT)</t>
  </si>
  <si>
    <t>GST@ 18%</t>
  </si>
  <si>
    <t>Website Development and Hosting</t>
  </si>
  <si>
    <t>Electrical Wire &amp; Accessoeries</t>
  </si>
  <si>
    <t>Plumbing</t>
  </si>
  <si>
    <t>Logo Design</t>
  </si>
  <si>
    <t>Annual Compliances and Trade Mark</t>
  </si>
  <si>
    <t>GST Compliances and Books of Accounting</t>
  </si>
  <si>
    <t>Ltrs/Batch</t>
  </si>
  <si>
    <t>No. of Months in year</t>
  </si>
  <si>
    <t>Output/ Batch</t>
  </si>
  <si>
    <t>No. of Months</t>
  </si>
  <si>
    <t>Total Wine in Lites per annaum</t>
  </si>
  <si>
    <t>Strawberry</t>
  </si>
  <si>
    <t>Syrup</t>
  </si>
  <si>
    <t>Wine</t>
  </si>
  <si>
    <t>750 ML</t>
  </si>
  <si>
    <t>Sugar</t>
  </si>
  <si>
    <t>KG</t>
  </si>
  <si>
    <t>Preservative</t>
  </si>
  <si>
    <t>Syrup 750 ML</t>
  </si>
  <si>
    <t>Streaberry</t>
  </si>
  <si>
    <t>Driver</t>
  </si>
  <si>
    <t>Okay</t>
  </si>
  <si>
    <t>Microtek 4KVA UPS</t>
  </si>
  <si>
    <t xml:space="preserve">The project internal rate of return shall be more than 10% </t>
  </si>
  <si>
    <t xml:space="preserve">Inward- Transportation Cost </t>
  </si>
  <si>
    <t xml:space="preserve">Outward- Transportation Cost </t>
  </si>
  <si>
    <t>RO Water Charges</t>
  </si>
  <si>
    <t>LTR</t>
  </si>
  <si>
    <t>Profit after Tax &amp; Divdend</t>
  </si>
  <si>
    <t>Blue Star Bottal Cooler  500</t>
  </si>
  <si>
    <t>Blue Star Bottal Cooler  700</t>
  </si>
  <si>
    <t>Voltas Convertible Freezer 500</t>
  </si>
  <si>
    <t>Voltas Convertible HT Freezer 500</t>
  </si>
  <si>
    <t>200 ML</t>
  </si>
  <si>
    <t>500 ML</t>
  </si>
  <si>
    <t>200ML</t>
  </si>
  <si>
    <t>500ML</t>
  </si>
  <si>
    <t>Wine 200 ML</t>
  </si>
  <si>
    <t>Wine 500 ML</t>
  </si>
  <si>
    <t>Packaging &amp; Labelling Expenses</t>
  </si>
  <si>
    <r>
      <t>Add</t>
    </r>
    <r>
      <rPr>
        <sz val="11"/>
        <color indexed="8"/>
        <rFont val="Garamond"/>
        <family val="1"/>
      </rPr>
      <t>: Deprication</t>
    </r>
  </si>
  <si>
    <t>Activity 1 - Fruit Processing Unit</t>
  </si>
  <si>
    <t>Fruit Processing</t>
  </si>
  <si>
    <t>Fruit Processing Unit</t>
  </si>
  <si>
    <t>Chillier &amp; Freezer</t>
  </si>
  <si>
    <t>Fruit Processing Machine</t>
  </si>
  <si>
    <t>Bottle Filling Machine</t>
  </si>
  <si>
    <t>Syrup Tank</t>
  </si>
  <si>
    <t>Conveyor Belt</t>
  </si>
  <si>
    <t>Air Compressor</t>
  </si>
  <si>
    <t>Air Pipeline</t>
  </si>
  <si>
    <t>Construction of Godown</t>
  </si>
  <si>
    <t>Lease</t>
  </si>
  <si>
    <t>Construction of Syrup Production Unit</t>
  </si>
  <si>
    <t>Construction of Wine Production Unit</t>
  </si>
  <si>
    <t>Sq. mtrs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</si>
</sst>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_(* \(#,##0.00\);_(* &quot;-&quot;??_);_(@_)"/>
    <numFmt numFmtId="164" formatCode="_ * #,##0.00_ ;_ * \-#,##0.00_ ;_ * &quot;-&quot;??_ ;_ @_ "/>
    <numFmt numFmtId="165" formatCode="&quot;Rs.&quot;\ #,##0.00;[Red]&quot;Rs.&quot;\ \-#,##0.00"/>
    <numFmt numFmtId="166" formatCode="_-* #,##0.00_-;\-* #,##0.00_-;_-* &quot;-&quot;??_-;_-@_-"/>
    <numFmt numFmtId="167" formatCode="_-* #,##0_-;\-* #,##0_-;_-* &quot;-&quot;??_-;_-@_-"/>
    <numFmt numFmtId="168" formatCode="_-&quot;Rs.&quot;* #,##0.00_-;\-&quot;Rs.&quot;* #,##0.00_-;_-&quot;Rs.&quot;* &quot;-&quot;??_-;_-@_-"/>
    <numFmt numFmtId="169" formatCode="_(* #,##0_);_(* \(#,##0\);_(* &quot;-&quot;??_);_(@_)"/>
    <numFmt numFmtId="170" formatCode="0.0%"/>
    <numFmt numFmtId="171" formatCode="_ * #,##0_ ;_ * \-#,##0_ ;_ * &quot;-&quot;??_ ;_ @_ "/>
    <numFmt numFmtId="172" formatCode="_-&quot;£&quot;* #,##0.00_-;\-&quot;£&quot;* #,##0.00_-;_-&quot;£&quot;* &quot;-&quot;??_-;_-@_-"/>
    <numFmt numFmtId="173" formatCode="#,##0_ ;[Red]\-#,##0\ "/>
    <numFmt numFmtId="174" formatCode="#,##0.00_ ;[Red]\-#,##0.00\ "/>
    <numFmt numFmtId="175" formatCode="_(* #,##0.0000_);_(* \(#,##0.0000\);_(* &quot;-&quot;??_);_(@_)"/>
    <numFmt numFmtId="176" formatCode="_ * #,##0.0_ ;_ * \-#,##0.0_ ;_ * &quot;-&quot;??_ ;_ @_ "/>
    <numFmt numFmtId="177" formatCode="0.0"/>
    <numFmt numFmtId="178" formatCode="_(* #,##0.0_);_(* \(#,##0.0\);_(* &quot;-&quot;??_);_(@_)"/>
    <numFmt numFmtId="179" formatCode="#,##0.0"/>
    <numFmt numFmtId="180" formatCode="_ * #,##0.0_ ;_ * \-#,##0.0_ ;_ * &quot;-&quot;?_ ;_ @_ "/>
  </numFmts>
  <fonts count="81" x14ac:knownFonts="1">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u/>
      <sz val="10"/>
      <color indexed="12"/>
      <name val="Arial"/>
      <family val="2"/>
    </font>
    <font>
      <sz val="11"/>
      <name val="Calibri"/>
      <family val="2"/>
    </font>
    <font>
      <sz val="11"/>
      <color indexed="8"/>
      <name val="Calibri"/>
      <family val="2"/>
    </font>
    <font>
      <b/>
      <u/>
      <sz val="11"/>
      <color indexed="12"/>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4"/>
      <name val="Times New Roman"/>
      <family val="1"/>
    </font>
    <font>
      <b/>
      <sz val="11"/>
      <color rgb="FF272727"/>
      <name val="Garamond"/>
      <family val="1"/>
    </font>
    <font>
      <b/>
      <sz val="11"/>
      <color rgb="FF222222"/>
      <name val="Garamond"/>
      <family val="1"/>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b/>
      <sz val="18"/>
      <color theme="1"/>
      <name val="Calibri"/>
      <family val="2"/>
      <scheme val="minor"/>
    </font>
    <font>
      <b/>
      <sz val="24"/>
      <color theme="1"/>
      <name val="Calibri"/>
      <family val="2"/>
      <scheme val="minor"/>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11"/>
      <color theme="0"/>
      <name val="Garamond"/>
      <family val="1"/>
    </font>
    <font>
      <sz val="11"/>
      <color theme="1"/>
      <name val="Garamond"/>
      <family val="1"/>
    </font>
    <font>
      <b/>
      <sz val="11"/>
      <color theme="1"/>
      <name val="Garamond"/>
      <family val="1"/>
    </font>
    <font>
      <sz val="10"/>
      <color theme="1"/>
      <name val="Times New Roman"/>
      <family val="1"/>
    </font>
    <font>
      <b/>
      <sz val="14"/>
      <color theme="1"/>
      <name val="Garamond"/>
      <family val="1"/>
    </font>
    <font>
      <b/>
      <sz val="14"/>
      <name val="Garamond"/>
      <family val="1"/>
    </font>
    <font>
      <b/>
      <sz val="11"/>
      <color indexed="8"/>
      <name val="Garamond"/>
      <family val="1"/>
    </font>
    <font>
      <b/>
      <u/>
      <sz val="11"/>
      <color indexed="8"/>
      <name val="Garamond"/>
      <family val="1"/>
    </font>
    <font>
      <b/>
      <i/>
      <sz val="11"/>
      <color indexed="8"/>
      <name val="Garamond"/>
      <family val="1"/>
    </font>
    <font>
      <sz val="11"/>
      <name val="Garamond"/>
      <family val="1"/>
    </font>
    <font>
      <sz val="11"/>
      <color indexed="8"/>
      <name val="Garamond"/>
      <family val="1"/>
    </font>
    <font>
      <b/>
      <u/>
      <sz val="11"/>
      <color indexed="12"/>
      <name val="Garamond"/>
      <family val="1"/>
    </font>
    <font>
      <sz val="11"/>
      <color theme="0"/>
      <name val="Garamond"/>
      <family val="1"/>
    </font>
    <font>
      <b/>
      <sz val="10"/>
      <color rgb="FFFFFFFF"/>
      <name val="Garamond"/>
      <family val="1"/>
    </font>
    <font>
      <sz val="10"/>
      <color rgb="FF000000"/>
      <name val="Garamond"/>
      <family val="1"/>
    </font>
    <font>
      <sz val="10"/>
      <color theme="1"/>
      <name val="Garamond"/>
      <family val="1"/>
    </font>
    <font>
      <b/>
      <sz val="10"/>
      <color rgb="FF000000"/>
      <name val="Garamond"/>
      <family val="1"/>
    </font>
    <font>
      <b/>
      <sz val="8"/>
      <name val="Garamond"/>
      <family val="1"/>
    </font>
    <font>
      <b/>
      <sz val="8"/>
      <color rgb="FF202124"/>
      <name val="Garamond"/>
      <family val="1"/>
    </font>
    <font>
      <b/>
      <sz val="9"/>
      <name val="Garamond"/>
      <family val="1"/>
    </font>
    <font>
      <sz val="9"/>
      <name val="Garamond"/>
      <family val="1"/>
    </font>
    <font>
      <sz val="10"/>
      <color rgb="FF424142"/>
      <name val="Garamond"/>
      <family val="1"/>
    </font>
    <font>
      <i/>
      <sz val="11"/>
      <color indexed="10"/>
      <name val="Garamond"/>
      <family val="1"/>
    </font>
    <font>
      <b/>
      <sz val="11"/>
      <color indexed="56"/>
      <name val="Garamond"/>
      <family val="1"/>
    </font>
    <font>
      <b/>
      <u/>
      <sz val="11"/>
      <name val="Garamond"/>
      <family val="1"/>
    </font>
    <font>
      <sz val="11"/>
      <color indexed="17"/>
      <name val="Garamond"/>
      <family val="1"/>
    </font>
    <font>
      <b/>
      <u/>
      <sz val="11"/>
      <color indexed="60"/>
      <name val="Garamond"/>
      <family val="1"/>
    </font>
    <font>
      <sz val="11"/>
      <color indexed="60"/>
      <name val="Garamond"/>
      <family val="1"/>
    </font>
    <font>
      <b/>
      <sz val="11"/>
      <color indexed="60"/>
      <name val="Garamond"/>
      <family val="1"/>
    </font>
    <font>
      <sz val="8"/>
      <color rgb="FF222222"/>
      <name val="Garamond"/>
      <family val="1"/>
    </font>
    <font>
      <b/>
      <sz val="14"/>
      <color indexed="8"/>
      <name val="Garamond"/>
      <family val="1"/>
    </font>
    <font>
      <sz val="13"/>
      <color indexed="8"/>
      <name val="Garamond"/>
      <family val="1"/>
    </font>
    <font>
      <sz val="12"/>
      <color theme="0"/>
      <name val="Garamond"/>
      <family val="1"/>
    </font>
    <font>
      <sz val="13"/>
      <name val="Garamond"/>
      <family val="1"/>
    </font>
    <font>
      <b/>
      <sz val="12"/>
      <color theme="0"/>
      <name val="Garamond"/>
      <family val="1"/>
    </font>
    <font>
      <sz val="12"/>
      <color indexed="8"/>
      <name val="Garamond"/>
      <family val="1"/>
    </font>
    <font>
      <sz val="12"/>
      <name val="Garamond"/>
      <family val="1"/>
    </font>
    <font>
      <b/>
      <sz val="16"/>
      <color theme="1"/>
      <name val="Garamond"/>
      <family val="1"/>
    </font>
    <font>
      <b/>
      <u/>
      <sz val="11"/>
      <color theme="1"/>
      <name val="Garamond"/>
      <family val="1"/>
    </font>
  </fonts>
  <fills count="13">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rgb="FF7030A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s>
  <cellStyleXfs count="11">
    <xf numFmtId="0" fontId="0" fillId="0" borderId="0"/>
    <xf numFmtId="9"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8" fontId="8" fillId="0" borderId="0" applyFont="0" applyFill="0" applyBorder="0" applyAlignment="0" applyProtection="0"/>
    <xf numFmtId="0" fontId="8" fillId="0" borderId="0"/>
    <xf numFmtId="9" fontId="8" fillId="0" borderId="0" applyFont="0" applyFill="0" applyBorder="0" applyAlignment="0" applyProtection="0"/>
    <xf numFmtId="0" fontId="14" fillId="0" borderId="0" applyNumberFormat="0" applyFill="0" applyBorder="0" applyAlignment="0" applyProtection="0">
      <alignment vertical="top"/>
      <protection locked="0"/>
    </xf>
    <xf numFmtId="172" fontId="1" fillId="0" borderId="0" applyFont="0" applyFill="0" applyBorder="0" applyAlignment="0" applyProtection="0"/>
    <xf numFmtId="164" fontId="16" fillId="0" borderId="0" applyFont="0" applyFill="0" applyBorder="0" applyAlignment="0" applyProtection="0"/>
  </cellStyleXfs>
  <cellXfs count="507">
    <xf numFmtId="0" fontId="0" fillId="0" borderId="0" xfId="0"/>
    <xf numFmtId="9" fontId="0" fillId="0" borderId="0" xfId="0" applyNumberFormat="1"/>
    <xf numFmtId="0" fontId="2" fillId="0" borderId="0" xfId="0" applyFont="1"/>
    <xf numFmtId="0" fontId="3" fillId="0" borderId="0" xfId="0" applyFont="1"/>
    <xf numFmtId="0" fontId="0" fillId="0" borderId="1" xfId="0" applyBorder="1"/>
    <xf numFmtId="0" fontId="7" fillId="0" borderId="1" xfId="0" applyFont="1" applyBorder="1"/>
    <xf numFmtId="0" fontId="7" fillId="0" borderId="0" xfId="0" applyFont="1"/>
    <xf numFmtId="0" fontId="0" fillId="0" borderId="0" xfId="0" applyAlignment="1">
      <alignment horizontal="center"/>
    </xf>
    <xf numFmtId="4" fontId="0" fillId="0" borderId="0" xfId="0" applyNumberFormat="1"/>
    <xf numFmtId="167" fontId="12" fillId="0" borderId="1" xfId="3" applyNumberFormat="1" applyFont="1" applyBorder="1" applyAlignment="1">
      <alignment horizontal="right" vertical="center" wrapText="1"/>
    </xf>
    <xf numFmtId="0" fontId="10" fillId="2" borderId="1" xfId="0" applyFont="1" applyFill="1" applyBorder="1" applyAlignment="1">
      <alignment vertical="center" wrapText="1"/>
    </xf>
    <xf numFmtId="169" fontId="0" fillId="0" borderId="1" xfId="2" applyNumberFormat="1" applyFont="1" applyBorder="1"/>
    <xf numFmtId="0" fontId="17" fillId="0" borderId="0" xfId="8" applyFont="1" applyFill="1" applyBorder="1" applyAlignment="1" applyProtection="1"/>
    <xf numFmtId="0" fontId="16" fillId="0" borderId="10" xfId="0" applyFont="1" applyBorder="1"/>
    <xf numFmtId="167" fontId="15" fillId="0" borderId="0" xfId="3" applyNumberFormat="1" applyFont="1" applyFill="1" applyBorder="1"/>
    <xf numFmtId="0" fontId="13" fillId="0" borderId="10" xfId="0" applyFont="1" applyBorder="1"/>
    <xf numFmtId="0" fontId="10" fillId="2" borderId="1" xfId="0" applyFont="1" applyFill="1" applyBorder="1" applyAlignment="1">
      <alignment horizontal="center" vertical="center" wrapText="1"/>
    </xf>
    <xf numFmtId="2" fontId="2" fillId="0" borderId="0" xfId="0" applyNumberFormat="1" applyFont="1"/>
    <xf numFmtId="0" fontId="15" fillId="0" borderId="0" xfId="0" applyFont="1"/>
    <xf numFmtId="169" fontId="0" fillId="0" borderId="0" xfId="0" applyNumberFormat="1"/>
    <xf numFmtId="0" fontId="9" fillId="0" borderId="1" xfId="0" applyFont="1" applyBorder="1" applyAlignment="1">
      <alignment horizontal="center"/>
    </xf>
    <xf numFmtId="169" fontId="2" fillId="0" borderId="1" xfId="2" applyNumberFormat="1" applyFont="1" applyBorder="1" applyAlignment="1"/>
    <xf numFmtId="0" fontId="20" fillId="5" borderId="1" xfId="0" applyFont="1" applyFill="1" applyBorder="1" applyAlignment="1">
      <alignment horizontal="center"/>
    </xf>
    <xf numFmtId="0" fontId="18" fillId="5" borderId="1" xfId="0" applyFont="1" applyFill="1" applyBorder="1"/>
    <xf numFmtId="0" fontId="18" fillId="5" borderId="1" xfId="0" applyFont="1" applyFill="1" applyBorder="1" applyAlignment="1">
      <alignment horizontal="center"/>
    </xf>
    <xf numFmtId="0" fontId="21" fillId="5" borderId="1" xfId="0" applyFont="1" applyFill="1" applyBorder="1" applyAlignment="1">
      <alignment horizontal="left"/>
    </xf>
    <xf numFmtId="0" fontId="19" fillId="5" borderId="1" xfId="0" applyFont="1" applyFill="1" applyBorder="1" applyAlignment="1">
      <alignment horizontal="center"/>
    </xf>
    <xf numFmtId="0" fontId="4" fillId="0" borderId="1" xfId="0" applyFont="1" applyBorder="1"/>
    <xf numFmtId="4" fontId="4" fillId="0" borderId="1" xfId="0" applyNumberFormat="1" applyFont="1" applyBorder="1"/>
    <xf numFmtId="0" fontId="6" fillId="0" borderId="1" xfId="0" applyFont="1" applyBorder="1"/>
    <xf numFmtId="175" fontId="4" fillId="0" borderId="1" xfId="2" applyNumberFormat="1" applyFont="1" applyBorder="1"/>
    <xf numFmtId="169" fontId="0" fillId="0" borderId="1" xfId="2" applyNumberFormat="1" applyFont="1" applyBorder="1" applyAlignment="1"/>
    <xf numFmtId="0" fontId="24" fillId="0" borderId="0" xfId="0" applyFont="1"/>
    <xf numFmtId="0" fontId="24" fillId="0" borderId="1" xfId="0" applyFont="1" applyBorder="1"/>
    <xf numFmtId="169" fontId="24" fillId="0" borderId="1" xfId="2" applyNumberFormat="1" applyFont="1" applyBorder="1"/>
    <xf numFmtId="0" fontId="25" fillId="0" borderId="1" xfId="0" applyFont="1" applyBorder="1"/>
    <xf numFmtId="169" fontId="25" fillId="0" borderId="1" xfId="0" applyNumberFormat="1" applyFont="1" applyBorder="1"/>
    <xf numFmtId="169" fontId="25" fillId="0" borderId="1" xfId="2" applyNumberFormat="1" applyFont="1" applyBorder="1" applyAlignment="1"/>
    <xf numFmtId="2" fontId="25" fillId="0" borderId="1" xfId="0" applyNumberFormat="1" applyFont="1" applyBorder="1"/>
    <xf numFmtId="0" fontId="21" fillId="5" borderId="1" xfId="0" applyFont="1" applyFill="1" applyBorder="1" applyAlignment="1">
      <alignment horizontal="center"/>
    </xf>
    <xf numFmtId="0" fontId="4" fillId="0" borderId="1" xfId="0" applyFont="1" applyBorder="1" applyAlignment="1">
      <alignment horizontal="center"/>
    </xf>
    <xf numFmtId="169" fontId="4" fillId="0" borderId="1" xfId="2" applyNumberFormat="1" applyFont="1" applyBorder="1" applyAlignment="1">
      <alignment horizontal="center"/>
    </xf>
    <xf numFmtId="0" fontId="24" fillId="0" borderId="1" xfId="0" applyFont="1" applyBorder="1" applyAlignment="1">
      <alignment wrapText="1"/>
    </xf>
    <xf numFmtId="2" fontId="24" fillId="0" borderId="1" xfId="0" applyNumberFormat="1" applyFont="1" applyBorder="1"/>
    <xf numFmtId="43" fontId="24" fillId="0" borderId="0" xfId="0" applyNumberFormat="1" applyFont="1"/>
    <xf numFmtId="169" fontId="24" fillId="0" borderId="0" xfId="2" applyNumberFormat="1" applyFont="1"/>
    <xf numFmtId="0" fontId="21" fillId="5" borderId="1" xfId="0" applyFont="1" applyFill="1" applyBorder="1"/>
    <xf numFmtId="9" fontId="24" fillId="0" borderId="1" xfId="1" applyFont="1" applyBorder="1"/>
    <xf numFmtId="169" fontId="25" fillId="0" borderId="1" xfId="2" applyNumberFormat="1" applyFont="1" applyBorder="1"/>
    <xf numFmtId="0" fontId="25" fillId="0" borderId="0" xfId="0" applyFont="1"/>
    <xf numFmtId="10" fontId="25" fillId="0" borderId="0" xfId="1" applyNumberFormat="1" applyFont="1"/>
    <xf numFmtId="0" fontId="18" fillId="2" borderId="1" xfId="0" applyFont="1" applyFill="1" applyBorder="1" applyAlignment="1">
      <alignment horizontal="center"/>
    </xf>
    <xf numFmtId="0" fontId="18" fillId="2" borderId="1" xfId="0" applyFont="1" applyFill="1" applyBorder="1"/>
    <xf numFmtId="173" fontId="26" fillId="0" borderId="1" xfId="9" applyNumberFormat="1" applyFont="1" applyFill="1" applyBorder="1" applyAlignment="1">
      <alignment vertical="center"/>
    </xf>
    <xf numFmtId="173" fontId="27" fillId="0" borderId="1" xfId="9" applyNumberFormat="1" applyFont="1" applyFill="1" applyBorder="1" applyAlignment="1">
      <alignment vertical="center"/>
    </xf>
    <xf numFmtId="165" fontId="24" fillId="0" borderId="0" xfId="0" applyNumberFormat="1" applyFont="1"/>
    <xf numFmtId="0" fontId="18" fillId="2" borderId="1" xfId="0" applyFont="1" applyFill="1" applyBorder="1" applyAlignment="1">
      <alignment horizontal="right"/>
    </xf>
    <xf numFmtId="2" fontId="18" fillId="2" borderId="1" xfId="0" applyNumberFormat="1" applyFont="1" applyFill="1" applyBorder="1" applyAlignment="1">
      <alignment horizontal="right"/>
    </xf>
    <xf numFmtId="167" fontId="11" fillId="6" borderId="1" xfId="3" applyNumberFormat="1" applyFont="1" applyFill="1" applyBorder="1" applyAlignment="1">
      <alignment horizontal="right" vertical="center" wrapText="1"/>
    </xf>
    <xf numFmtId="174" fontId="24" fillId="0" borderId="0" xfId="0" applyNumberFormat="1" applyFont="1"/>
    <xf numFmtId="0" fontId="25" fillId="0" borderId="1" xfId="0" applyFont="1" applyBorder="1" applyAlignment="1">
      <alignment horizontal="center" vertical="center"/>
    </xf>
    <xf numFmtId="10" fontId="4" fillId="0" borderId="1" xfId="0" applyNumberFormat="1" applyFont="1" applyBorder="1"/>
    <xf numFmtId="0" fontId="4" fillId="0" borderId="1" xfId="0" quotePrefix="1" applyFont="1" applyBorder="1" applyAlignment="1">
      <alignment horizontal="left"/>
    </xf>
    <xf numFmtId="4" fontId="7" fillId="0" borderId="1" xfId="0" applyNumberFormat="1" applyFont="1" applyBorder="1"/>
    <xf numFmtId="9" fontId="24" fillId="7" borderId="0" xfId="0" applyNumberFormat="1" applyFont="1" applyFill="1"/>
    <xf numFmtId="0" fontId="24" fillId="7" borderId="0" xfId="0" applyFont="1" applyFill="1"/>
    <xf numFmtId="9" fontId="13" fillId="7" borderId="0" xfId="1" applyFont="1" applyFill="1" applyBorder="1"/>
    <xf numFmtId="0" fontId="32" fillId="5" borderId="1" xfId="0" applyFont="1" applyFill="1" applyBorder="1"/>
    <xf numFmtId="3" fontId="24" fillId="0" borderId="1" xfId="0" applyNumberFormat="1" applyFont="1" applyBorder="1"/>
    <xf numFmtId="0" fontId="35" fillId="0" borderId="0" xfId="0" applyFont="1"/>
    <xf numFmtId="0" fontId="11" fillId="0" borderId="1" xfId="0" applyFont="1" applyBorder="1" applyAlignment="1">
      <alignment vertical="center" wrapText="1"/>
    </xf>
    <xf numFmtId="0" fontId="11" fillId="0" borderId="1" xfId="0" applyFont="1" applyBorder="1" applyAlignment="1">
      <alignment horizontal="center"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2" xfId="0" applyBorder="1" applyAlignment="1">
      <alignment vertical="center" wrapText="1"/>
    </xf>
    <xf numFmtId="0" fontId="0" fillId="6" borderId="15" xfId="0" applyFill="1" applyBorder="1" applyAlignment="1">
      <alignment vertical="center" wrapText="1"/>
    </xf>
    <xf numFmtId="0" fontId="0" fillId="7" borderId="15" xfId="0" applyFill="1" applyBorder="1" applyAlignment="1">
      <alignment vertical="center" wrapText="1"/>
    </xf>
    <xf numFmtId="0" fontId="2" fillId="11" borderId="1" xfId="0" applyFont="1" applyFill="1" applyBorder="1" applyAlignment="1">
      <alignment vertical="center" wrapText="1"/>
    </xf>
    <xf numFmtId="0" fontId="41"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38" fontId="13" fillId="0" borderId="0" xfId="0" applyNumberFormat="1" applyFont="1" applyAlignment="1">
      <alignment horizontal="left"/>
    </xf>
    <xf numFmtId="0" fontId="4" fillId="0" borderId="0" xfId="0" applyFont="1"/>
    <xf numFmtId="0" fontId="5" fillId="0" borderId="1" xfId="0" applyFont="1" applyBorder="1" applyAlignment="1">
      <alignment horizontal="center"/>
    </xf>
    <xf numFmtId="0" fontId="26" fillId="0" borderId="1" xfId="0" applyFont="1" applyBorder="1" applyAlignment="1">
      <alignment horizontal="center"/>
    </xf>
    <xf numFmtId="169" fontId="0" fillId="0" borderId="1" xfId="0" applyNumberFormat="1" applyBorder="1"/>
    <xf numFmtId="0" fontId="0" fillId="0" borderId="1" xfId="0" applyBorder="1" applyAlignment="1">
      <alignment horizontal="center" vertical="center"/>
    </xf>
    <xf numFmtId="173" fontId="27" fillId="0" borderId="1" xfId="9" applyNumberFormat="1" applyFont="1" applyFill="1" applyBorder="1" applyAlignment="1">
      <alignment horizontal="right" vertical="center"/>
    </xf>
    <xf numFmtId="169" fontId="24" fillId="0" borderId="1" xfId="2" applyNumberFormat="1" applyFont="1" applyBorder="1" applyAlignment="1">
      <alignment horizontal="right"/>
    </xf>
    <xf numFmtId="2" fontId="25" fillId="0" borderId="0" xfId="0" applyNumberFormat="1" applyFont="1"/>
    <xf numFmtId="9" fontId="42" fillId="12" borderId="1" xfId="0" applyNumberFormat="1" applyFont="1" applyFill="1" applyBorder="1" applyAlignment="1">
      <alignment wrapText="1"/>
    </xf>
    <xf numFmtId="0" fontId="43" fillId="0" borderId="0" xfId="0" applyFont="1"/>
    <xf numFmtId="0" fontId="43" fillId="0" borderId="1" xfId="0" applyFont="1" applyBorder="1"/>
    <xf numFmtId="2" fontId="43" fillId="0" borderId="1" xfId="0" applyNumberFormat="1" applyFont="1" applyBorder="1"/>
    <xf numFmtId="169" fontId="43" fillId="0" borderId="1" xfId="2" applyNumberFormat="1" applyFont="1" applyBorder="1"/>
    <xf numFmtId="43" fontId="43" fillId="0" borderId="1" xfId="2" applyFont="1" applyBorder="1"/>
    <xf numFmtId="178" fontId="43" fillId="0" borderId="1" xfId="2" applyNumberFormat="1" applyFont="1" applyBorder="1"/>
    <xf numFmtId="0" fontId="44" fillId="0" borderId="1" xfId="0" applyFont="1" applyBorder="1"/>
    <xf numFmtId="169" fontId="43" fillId="0" borderId="0" xfId="2" applyNumberFormat="1" applyFont="1" applyBorder="1"/>
    <xf numFmtId="43" fontId="43" fillId="0" borderId="1" xfId="0" applyNumberFormat="1" applyFont="1" applyBorder="1"/>
    <xf numFmtId="2" fontId="43" fillId="0" borderId="0" xfId="0" applyNumberFormat="1" applyFont="1"/>
    <xf numFmtId="2" fontId="44" fillId="0" borderId="1" xfId="0" applyNumberFormat="1" applyFont="1" applyBorder="1"/>
    <xf numFmtId="43" fontId="44" fillId="0" borderId="1" xfId="2" applyFont="1" applyBorder="1"/>
    <xf numFmtId="169" fontId="44" fillId="0" borderId="1" xfId="2" applyNumberFormat="1" applyFont="1" applyBorder="1"/>
    <xf numFmtId="43" fontId="44" fillId="0" borderId="1" xfId="0" applyNumberFormat="1" applyFont="1" applyBorder="1"/>
    <xf numFmtId="10" fontId="0" fillId="0" borderId="1" xfId="1" applyNumberFormat="1" applyFont="1" applyBorder="1"/>
    <xf numFmtId="10" fontId="0" fillId="0" borderId="1" xfId="1" applyNumberFormat="1" applyFont="1" applyBorder="1" applyAlignment="1">
      <alignment vertical="center"/>
    </xf>
    <xf numFmtId="0" fontId="10" fillId="5" borderId="7" xfId="0" applyFont="1" applyFill="1" applyBorder="1" applyAlignment="1">
      <alignment vertical="center"/>
    </xf>
    <xf numFmtId="0" fontId="10" fillId="5" borderId="3" xfId="0" applyFont="1" applyFill="1" applyBorder="1" applyAlignment="1">
      <alignment vertical="center"/>
    </xf>
    <xf numFmtId="0" fontId="11" fillId="0" borderId="9" xfId="0" applyFont="1" applyBorder="1" applyAlignment="1">
      <alignment vertical="center"/>
    </xf>
    <xf numFmtId="0" fontId="11" fillId="0" borderId="8" xfId="0" applyFont="1" applyBorder="1" applyAlignment="1">
      <alignment horizontal="right" vertical="center"/>
    </xf>
    <xf numFmtId="0" fontId="11" fillId="0" borderId="9" xfId="0" applyFont="1" applyBorder="1" applyAlignment="1">
      <alignment horizontal="center" vertical="center"/>
    </xf>
    <xf numFmtId="0" fontId="12" fillId="0" borderId="8" xfId="0" applyFont="1" applyBorder="1" applyAlignment="1">
      <alignment vertical="center"/>
    </xf>
    <xf numFmtId="0" fontId="12" fillId="0" borderId="9" xfId="0" applyFont="1" applyBorder="1" applyAlignment="1">
      <alignment vertical="center"/>
    </xf>
    <xf numFmtId="0" fontId="45" fillId="0" borderId="9" xfId="0" applyFont="1" applyBorder="1"/>
    <xf numFmtId="0" fontId="45" fillId="0" borderId="9" xfId="0" applyFont="1" applyBorder="1" applyAlignment="1">
      <alignment horizontal="center"/>
    </xf>
    <xf numFmtId="10" fontId="0" fillId="0" borderId="1" xfId="0" applyNumberFormat="1" applyBorder="1"/>
    <xf numFmtId="2" fontId="0" fillId="0" borderId="1" xfId="0" applyNumberFormat="1" applyBorder="1"/>
    <xf numFmtId="169" fontId="0" fillId="0" borderId="0" xfId="2" applyNumberFormat="1" applyFont="1" applyBorder="1"/>
    <xf numFmtId="9" fontId="0" fillId="0" borderId="0" xfId="1" applyFont="1" applyBorder="1"/>
    <xf numFmtId="0" fontId="12" fillId="0" borderId="1" xfId="0" applyFont="1" applyBorder="1" applyAlignment="1">
      <alignment horizontal="center" vertical="center" wrapText="1"/>
    </xf>
    <xf numFmtId="0" fontId="43" fillId="6" borderId="0" xfId="0" applyFont="1" applyFill="1"/>
    <xf numFmtId="0" fontId="42" fillId="5" borderId="1" xfId="0" applyFont="1" applyFill="1" applyBorder="1"/>
    <xf numFmtId="0" fontId="43" fillId="7" borderId="0" xfId="0" applyFont="1" applyFill="1"/>
    <xf numFmtId="9" fontId="43" fillId="0" borderId="1" xfId="0" applyNumberFormat="1" applyFont="1" applyBorder="1"/>
    <xf numFmtId="0" fontId="42" fillId="2" borderId="1" xfId="0" applyFont="1" applyFill="1" applyBorder="1"/>
    <xf numFmtId="0" fontId="42" fillId="2" borderId="1" xfId="0" applyFont="1" applyFill="1" applyBorder="1" applyAlignment="1">
      <alignment horizontal="center"/>
    </xf>
    <xf numFmtId="164" fontId="43" fillId="0" borderId="1" xfId="0" applyNumberFormat="1" applyFont="1" applyBorder="1"/>
    <xf numFmtId="167" fontId="44" fillId="0" borderId="1" xfId="3" applyNumberFormat="1" applyFont="1" applyBorder="1"/>
    <xf numFmtId="0" fontId="44" fillId="7" borderId="1" xfId="0" applyFont="1" applyFill="1" applyBorder="1"/>
    <xf numFmtId="9" fontId="44" fillId="7" borderId="1" xfId="1" applyFont="1" applyFill="1" applyBorder="1"/>
    <xf numFmtId="167" fontId="44" fillId="7" borderId="1" xfId="3" applyNumberFormat="1" applyFont="1" applyFill="1" applyBorder="1"/>
    <xf numFmtId="167" fontId="43" fillId="0" borderId="1" xfId="1" applyNumberFormat="1" applyFont="1" applyBorder="1"/>
    <xf numFmtId="0" fontId="43" fillId="0" borderId="0" xfId="0" applyFont="1" applyAlignment="1">
      <alignment horizontal="center"/>
    </xf>
    <xf numFmtId="0" fontId="44" fillId="0" borderId="0" xfId="0" applyFont="1" applyAlignment="1">
      <alignment horizontal="center"/>
    </xf>
    <xf numFmtId="9" fontId="44" fillId="0" borderId="0" xfId="0" applyNumberFormat="1" applyFont="1" applyAlignment="1">
      <alignment horizontal="center"/>
    </xf>
    <xf numFmtId="10" fontId="44" fillId="0" borderId="0" xfId="0" applyNumberFormat="1" applyFont="1" applyAlignment="1">
      <alignment horizontal="center"/>
    </xf>
    <xf numFmtId="9" fontId="43" fillId="0" borderId="0" xfId="0" applyNumberFormat="1" applyFont="1"/>
    <xf numFmtId="0" fontId="42" fillId="5" borderId="1" xfId="0" applyFont="1" applyFill="1" applyBorder="1" applyAlignment="1">
      <alignment horizontal="center"/>
    </xf>
    <xf numFmtId="167" fontId="43" fillId="0" borderId="1" xfId="0" applyNumberFormat="1" applyFont="1" applyBorder="1"/>
    <xf numFmtId="167" fontId="43" fillId="0" borderId="0" xfId="0" applyNumberFormat="1" applyFont="1"/>
    <xf numFmtId="169" fontId="44" fillId="0" borderId="1" xfId="2" applyNumberFormat="1" applyFont="1" applyFill="1" applyBorder="1"/>
    <xf numFmtId="167" fontId="44" fillId="0" borderId="1" xfId="0" applyNumberFormat="1" applyFont="1" applyBorder="1"/>
    <xf numFmtId="169" fontId="43" fillId="0" borderId="1" xfId="2" applyNumberFormat="1" applyFont="1" applyFill="1" applyBorder="1"/>
    <xf numFmtId="169" fontId="43" fillId="0" borderId="1" xfId="0" applyNumberFormat="1" applyFont="1" applyBorder="1"/>
    <xf numFmtId="169" fontId="43" fillId="0" borderId="0" xfId="0" applyNumberFormat="1" applyFont="1"/>
    <xf numFmtId="164" fontId="43" fillId="0" borderId="0" xfId="0" applyNumberFormat="1" applyFont="1"/>
    <xf numFmtId="167" fontId="11" fillId="0" borderId="1" xfId="3" applyNumberFormat="1" applyFont="1" applyFill="1" applyBorder="1" applyAlignment="1">
      <alignment horizontal="center" vertical="center" wrapText="1"/>
    </xf>
    <xf numFmtId="167" fontId="11" fillId="0" borderId="1" xfId="3" applyNumberFormat="1" applyFont="1" applyFill="1" applyBorder="1" applyAlignment="1">
      <alignment horizontal="right" vertical="center" wrapText="1"/>
    </xf>
    <xf numFmtId="10" fontId="43" fillId="0" borderId="0" xfId="0" applyNumberFormat="1" applyFont="1"/>
    <xf numFmtId="0" fontId="44" fillId="0" borderId="0" xfId="0" applyFont="1"/>
    <xf numFmtId="0" fontId="34" fillId="0" borderId="0" xfId="6" applyFont="1" applyAlignment="1">
      <alignment horizontal="center"/>
    </xf>
    <xf numFmtId="0" fontId="42" fillId="2" borderId="1" xfId="8" applyFont="1" applyFill="1" applyBorder="1" applyAlignment="1" applyProtection="1"/>
    <xf numFmtId="0" fontId="48" fillId="2" borderId="1" xfId="0" applyFont="1" applyFill="1" applyBorder="1"/>
    <xf numFmtId="0" fontId="42" fillId="2" borderId="1" xfId="0" applyFont="1" applyFill="1" applyBorder="1" applyAlignment="1">
      <alignment horizontal="center" wrapText="1"/>
    </xf>
    <xf numFmtId="0" fontId="48" fillId="0" borderId="1" xfId="0" applyFont="1" applyBorder="1" applyAlignment="1">
      <alignment horizontal="center"/>
    </xf>
    <xf numFmtId="0" fontId="49" fillId="0" borderId="1" xfId="0" applyFont="1" applyBorder="1"/>
    <xf numFmtId="0" fontId="50" fillId="0" borderId="1" xfId="0" applyFont="1" applyBorder="1" applyAlignment="1">
      <alignment horizontal="center"/>
    </xf>
    <xf numFmtId="0" fontId="43" fillId="0" borderId="1" xfId="0" applyFont="1" applyBorder="1" applyAlignment="1">
      <alignment horizontal="left"/>
    </xf>
    <xf numFmtId="0" fontId="48" fillId="0" borderId="1" xfId="0" applyFont="1" applyBorder="1" applyAlignment="1">
      <alignment horizontal="left"/>
    </xf>
    <xf numFmtId="167" fontId="51" fillId="0" borderId="1" xfId="0" applyNumberFormat="1" applyFont="1" applyBorder="1"/>
    <xf numFmtId="0" fontId="44" fillId="0" borderId="1" xfId="0" applyFont="1" applyBorder="1" applyAlignment="1">
      <alignment horizontal="left"/>
    </xf>
    <xf numFmtId="167" fontId="34" fillId="0" borderId="1" xfId="0" applyNumberFormat="1" applyFont="1" applyBorder="1"/>
    <xf numFmtId="0" fontId="43" fillId="0" borderId="0" xfId="0" applyFont="1" applyAlignment="1">
      <alignment horizontal="left"/>
    </xf>
    <xf numFmtId="167" fontId="51" fillId="0" borderId="0" xfId="0" applyNumberFormat="1" applyFont="1"/>
    <xf numFmtId="0" fontId="48" fillId="3" borderId="0" xfId="0" applyFont="1" applyFill="1" applyAlignment="1">
      <alignment horizontal="left" wrapText="1"/>
    </xf>
    <xf numFmtId="0" fontId="48" fillId="0" borderId="0" xfId="0" applyFont="1" applyAlignment="1">
      <alignment wrapText="1"/>
    </xf>
    <xf numFmtId="0" fontId="48" fillId="0" borderId="0" xfId="0" applyFont="1" applyAlignment="1">
      <alignment horizontal="center"/>
    </xf>
    <xf numFmtId="0" fontId="48" fillId="0" borderId="0" xfId="0" applyFont="1"/>
    <xf numFmtId="0" fontId="43" fillId="0" borderId="0" xfId="0" applyFont="1" applyAlignment="1">
      <alignment wrapText="1"/>
    </xf>
    <xf numFmtId="10" fontId="52" fillId="0" borderId="0" xfId="1" applyNumberFormat="1" applyFont="1" applyFill="1" applyBorder="1"/>
    <xf numFmtId="10" fontId="52" fillId="0" borderId="0" xfId="1" applyNumberFormat="1" applyFont="1" applyBorder="1"/>
    <xf numFmtId="9" fontId="43" fillId="0" borderId="0" xfId="1" applyFont="1"/>
    <xf numFmtId="0" fontId="51" fillId="0" borderId="0" xfId="0" applyFont="1"/>
    <xf numFmtId="0" fontId="53" fillId="0" borderId="0" xfId="8" applyFont="1" applyFill="1" applyBorder="1" applyAlignment="1" applyProtection="1"/>
    <xf numFmtId="0" fontId="42" fillId="5" borderId="1" xfId="0" applyFont="1" applyFill="1" applyBorder="1" applyAlignment="1">
      <alignment vertical="center"/>
    </xf>
    <xf numFmtId="0" fontId="42" fillId="5" borderId="1" xfId="0" applyFont="1" applyFill="1" applyBorder="1" applyAlignment="1">
      <alignment horizontal="center" vertical="center"/>
    </xf>
    <xf numFmtId="167" fontId="54" fillId="5" borderId="1" xfId="3" applyNumberFormat="1" applyFont="1" applyFill="1" applyBorder="1" applyAlignment="1">
      <alignment horizontal="center"/>
    </xf>
    <xf numFmtId="167" fontId="51" fillId="0" borderId="0" xfId="3" applyNumberFormat="1" applyFont="1" applyFill="1" applyBorder="1"/>
    <xf numFmtId="0" fontId="34" fillId="0" borderId="1" xfId="0" applyFont="1" applyBorder="1" applyAlignment="1">
      <alignment vertical="center"/>
    </xf>
    <xf numFmtId="0" fontId="34" fillId="0" borderId="1" xfId="0" applyFont="1" applyBorder="1" applyAlignment="1">
      <alignment horizontal="center" vertical="center"/>
    </xf>
    <xf numFmtId="167" fontId="51" fillId="0" borderId="1" xfId="3" applyNumberFormat="1" applyFont="1" applyFill="1" applyBorder="1"/>
    <xf numFmtId="0" fontId="34" fillId="0" borderId="1" xfId="0" applyFont="1" applyBorder="1"/>
    <xf numFmtId="0" fontId="51" fillId="0" borderId="1" xfId="0" applyFont="1" applyBorder="1"/>
    <xf numFmtId="167" fontId="34" fillId="0" borderId="0" xfId="0" applyNumberFormat="1" applyFont="1"/>
    <xf numFmtId="38" fontId="34" fillId="0" borderId="0" xfId="0" applyNumberFormat="1" applyFont="1" applyAlignment="1">
      <alignment horizontal="left"/>
    </xf>
    <xf numFmtId="0" fontId="34" fillId="0" borderId="0" xfId="6" applyFont="1"/>
    <xf numFmtId="0" fontId="34" fillId="0" borderId="0" xfId="0" applyFont="1"/>
    <xf numFmtId="0" fontId="52" fillId="0" borderId="1" xfId="0" applyFont="1" applyBorder="1"/>
    <xf numFmtId="173" fontId="51" fillId="0" borderId="1" xfId="9" applyNumberFormat="1" applyFont="1" applyFill="1" applyBorder="1" applyAlignment="1">
      <alignment vertical="center"/>
    </xf>
    <xf numFmtId="174" fontId="34" fillId="0" borderId="0" xfId="9" applyNumberFormat="1" applyFont="1" applyFill="1" applyBorder="1" applyAlignment="1">
      <alignment vertical="center"/>
    </xf>
    <xf numFmtId="0" fontId="48" fillId="0" borderId="1" xfId="0" applyFont="1" applyBorder="1"/>
    <xf numFmtId="173" fontId="34" fillId="0" borderId="1" xfId="9" applyNumberFormat="1" applyFont="1" applyFill="1" applyBorder="1" applyAlignment="1">
      <alignment vertical="center"/>
    </xf>
    <xf numFmtId="0" fontId="52" fillId="0" borderId="10" xfId="0" applyFont="1" applyBorder="1"/>
    <xf numFmtId="0" fontId="34" fillId="0" borderId="10" xfId="0" applyFont="1" applyBorder="1"/>
    <xf numFmtId="9" fontId="34" fillId="7" borderId="0" xfId="1" applyFont="1" applyFill="1" applyBorder="1"/>
    <xf numFmtId="169" fontId="43" fillId="0" borderId="0" xfId="2" applyNumberFormat="1" applyFont="1"/>
    <xf numFmtId="9" fontId="43" fillId="7" borderId="0" xfId="0" applyNumberFormat="1" applyFont="1" applyFill="1"/>
    <xf numFmtId="165" fontId="43" fillId="0" borderId="0" xfId="0" applyNumberFormat="1" applyFont="1"/>
    <xf numFmtId="174" fontId="43" fillId="0" borderId="0" xfId="0" applyNumberFormat="1" applyFont="1"/>
    <xf numFmtId="0" fontId="42" fillId="2" borderId="1" xfId="0" applyFont="1" applyFill="1" applyBorder="1" applyAlignment="1">
      <alignment horizontal="right"/>
    </xf>
    <xf numFmtId="2" fontId="42" fillId="2" borderId="1" xfId="0" applyNumberFormat="1" applyFont="1" applyFill="1" applyBorder="1" applyAlignment="1">
      <alignment horizontal="right"/>
    </xf>
    <xf numFmtId="0" fontId="55" fillId="2" borderId="1" xfId="0" applyFont="1" applyFill="1" applyBorder="1" applyAlignment="1">
      <alignment horizontal="center" vertical="center" wrapText="1"/>
    </xf>
    <xf numFmtId="0" fontId="55" fillId="2" borderId="21" xfId="0" applyFont="1" applyFill="1" applyBorder="1" applyAlignment="1">
      <alignment horizontal="center" vertical="center" wrapText="1"/>
    </xf>
    <xf numFmtId="0" fontId="56" fillId="0" borderId="1" xfId="0" applyFont="1" applyBorder="1" applyAlignment="1">
      <alignment horizontal="right" vertical="center" wrapText="1"/>
    </xf>
    <xf numFmtId="0" fontId="56" fillId="0" borderId="1" xfId="0" applyFont="1" applyBorder="1" applyAlignment="1">
      <alignment vertical="center" wrapText="1"/>
    </xf>
    <xf numFmtId="169" fontId="56" fillId="0" borderId="1" xfId="2" applyNumberFormat="1" applyFont="1" applyBorder="1" applyAlignment="1">
      <alignment vertical="center" wrapText="1"/>
    </xf>
    <xf numFmtId="9" fontId="57" fillId="7" borderId="1" xfId="0" applyNumberFormat="1" applyFont="1" applyFill="1" applyBorder="1"/>
    <xf numFmtId="169" fontId="57" fillId="0" borderId="1" xfId="0" applyNumberFormat="1" applyFont="1" applyBorder="1"/>
    <xf numFmtId="0" fontId="57" fillId="0" borderId="1" xfId="0" applyFont="1" applyBorder="1"/>
    <xf numFmtId="169" fontId="58" fillId="0" borderId="1" xfId="2" applyNumberFormat="1" applyFont="1" applyBorder="1" applyAlignment="1">
      <alignment horizontal="center" vertical="center" wrapText="1"/>
    </xf>
    <xf numFmtId="0" fontId="59" fillId="0" borderId="0" xfId="0" applyFont="1" applyAlignment="1">
      <alignment horizontal="center" wrapText="1"/>
    </xf>
    <xf numFmtId="0" fontId="55" fillId="2" borderId="1" xfId="0" applyFont="1" applyFill="1" applyBorder="1" applyAlignment="1">
      <alignment vertical="center" wrapText="1"/>
    </xf>
    <xf numFmtId="9" fontId="56" fillId="0" borderId="1" xfId="3" applyNumberFormat="1" applyFont="1" applyFill="1" applyBorder="1" applyAlignment="1">
      <alignment horizontal="right" vertical="center" wrapText="1"/>
    </xf>
    <xf numFmtId="169" fontId="56" fillId="0" borderId="1" xfId="2" applyNumberFormat="1" applyFont="1" applyFill="1" applyBorder="1" applyAlignment="1">
      <alignment horizontal="right" vertical="center" wrapText="1"/>
    </xf>
    <xf numFmtId="9" fontId="56" fillId="0" borderId="1" xfId="1" applyFont="1" applyFill="1" applyBorder="1" applyAlignment="1">
      <alignment horizontal="right" vertical="center" wrapText="1"/>
    </xf>
    <xf numFmtId="167" fontId="56" fillId="0" borderId="1" xfId="3" applyNumberFormat="1" applyFont="1" applyFill="1" applyBorder="1" applyAlignment="1">
      <alignment horizontal="right" vertical="center" wrapText="1"/>
    </xf>
    <xf numFmtId="9" fontId="56" fillId="7" borderId="1" xfId="1" applyFont="1" applyFill="1" applyBorder="1" applyAlignment="1">
      <alignment horizontal="right" vertical="center" wrapText="1"/>
    </xf>
    <xf numFmtId="167" fontId="58" fillId="0" borderId="1" xfId="3" applyNumberFormat="1" applyFont="1" applyBorder="1" applyAlignment="1">
      <alignment horizontal="right" vertical="center" wrapText="1"/>
    </xf>
    <xf numFmtId="0" fontId="55" fillId="5" borderId="1" xfId="0" applyFont="1" applyFill="1" applyBorder="1" applyAlignment="1">
      <alignment horizontal="center" vertical="center" wrapText="1"/>
    </xf>
    <xf numFmtId="0" fontId="55" fillId="5" borderId="1" xfId="0" applyFont="1" applyFill="1" applyBorder="1" applyAlignment="1">
      <alignment horizontal="center" vertical="center"/>
    </xf>
    <xf numFmtId="0" fontId="56" fillId="0" borderId="1" xfId="0" applyFont="1" applyBorder="1" applyAlignment="1">
      <alignment horizontal="center" vertical="center" wrapText="1"/>
    </xf>
    <xf numFmtId="10" fontId="56" fillId="0" borderId="1" xfId="0" applyNumberFormat="1" applyFont="1" applyBorder="1" applyAlignment="1">
      <alignment horizontal="center" vertical="center" wrapText="1"/>
    </xf>
    <xf numFmtId="0" fontId="56" fillId="0" borderId="1" xfId="0" applyFont="1" applyBorder="1" applyAlignment="1">
      <alignment horizontal="left" vertical="center" wrapText="1"/>
    </xf>
    <xf numFmtId="0" fontId="56" fillId="0" borderId="18" xfId="0" applyFont="1" applyBorder="1" applyAlignment="1">
      <alignment horizontal="left" vertical="center" wrapText="1"/>
    </xf>
    <xf numFmtId="10" fontId="56" fillId="0" borderId="1" xfId="1" applyNumberFormat="1" applyFont="1" applyBorder="1" applyAlignment="1">
      <alignment horizontal="center" vertical="center" wrapText="1"/>
    </xf>
    <xf numFmtId="0" fontId="56" fillId="0" borderId="0" xfId="0" applyFont="1" applyAlignment="1">
      <alignment horizontal="left" vertical="center" wrapText="1"/>
    </xf>
    <xf numFmtId="3" fontId="56" fillId="0" borderId="1" xfId="0" applyNumberFormat="1" applyFont="1" applyBorder="1" applyAlignment="1">
      <alignment horizontal="center" vertical="center" wrapText="1"/>
    </xf>
    <xf numFmtId="2" fontId="56" fillId="0" borderId="1" xfId="0" applyNumberFormat="1" applyFont="1" applyBorder="1" applyAlignment="1">
      <alignment horizontal="center" vertical="center" wrapText="1"/>
    </xf>
    <xf numFmtId="0" fontId="51" fillId="0" borderId="1" xfId="0" applyFont="1" applyBorder="1" applyAlignment="1">
      <alignment vertical="center" wrapText="1"/>
    </xf>
    <xf numFmtId="0" fontId="51" fillId="0" borderId="1" xfId="0" applyFont="1" applyBorder="1" applyAlignment="1">
      <alignment horizontal="left" vertical="center" wrapText="1"/>
    </xf>
    <xf numFmtId="0" fontId="51" fillId="0" borderId="1" xfId="0" applyFont="1" applyBorder="1" applyAlignment="1">
      <alignment horizontal="center" vertical="center" wrapText="1"/>
    </xf>
    <xf numFmtId="166" fontId="51" fillId="0" borderId="1" xfId="3" applyFont="1" applyFill="1" applyBorder="1" applyAlignment="1">
      <alignment horizontal="right" vertical="center" wrapText="1"/>
    </xf>
    <xf numFmtId="0" fontId="43" fillId="0" borderId="1" xfId="0" applyFont="1" applyBorder="1" applyAlignment="1">
      <alignment vertical="center" wrapText="1"/>
    </xf>
    <xf numFmtId="169" fontId="51" fillId="0" borderId="1" xfId="2" applyNumberFormat="1" applyFont="1" applyFill="1" applyBorder="1" applyAlignment="1">
      <alignment horizontal="left" vertical="center" wrapText="1"/>
    </xf>
    <xf numFmtId="169" fontId="51" fillId="0" borderId="19" xfId="2" applyNumberFormat="1" applyFont="1" applyFill="1" applyBorder="1" applyAlignment="1">
      <alignment vertical="center" wrapText="1"/>
    </xf>
    <xf numFmtId="169" fontId="51" fillId="0" borderId="1" xfId="2" applyNumberFormat="1" applyFont="1" applyFill="1" applyBorder="1" applyAlignment="1">
      <alignment horizontal="right" vertical="center" wrapText="1"/>
    </xf>
    <xf numFmtId="167" fontId="44" fillId="0" borderId="1" xfId="3" applyNumberFormat="1" applyFont="1" applyBorder="1" applyAlignment="1">
      <alignment horizontal="right" vertical="center" wrapText="1"/>
    </xf>
    <xf numFmtId="0" fontId="43" fillId="6" borderId="1" xfId="0" applyFont="1" applyFill="1" applyBorder="1"/>
    <xf numFmtId="0" fontId="12" fillId="0" borderId="1" xfId="0" applyFont="1" applyBorder="1" applyAlignment="1">
      <alignment vertical="center" wrapText="1"/>
    </xf>
    <xf numFmtId="169" fontId="12" fillId="0" borderId="1" xfId="2" applyNumberFormat="1" applyFont="1" applyFill="1" applyBorder="1" applyAlignment="1">
      <alignment horizontal="right" vertical="center" wrapText="1"/>
    </xf>
    <xf numFmtId="0" fontId="44" fillId="6" borderId="1" xfId="0" applyFont="1" applyFill="1" applyBorder="1"/>
    <xf numFmtId="167" fontId="12" fillId="0" borderId="1" xfId="3" applyNumberFormat="1" applyFont="1" applyFill="1" applyBorder="1" applyAlignment="1">
      <alignment horizontal="right" vertical="center" wrapText="1"/>
    </xf>
    <xf numFmtId="0" fontId="44" fillId="0" borderId="1" xfId="0" applyFont="1" applyBorder="1" applyAlignment="1">
      <alignment wrapText="1"/>
    </xf>
    <xf numFmtId="0" fontId="43" fillId="0" borderId="1" xfId="0" applyFont="1" applyBorder="1" applyAlignment="1">
      <alignment wrapText="1"/>
    </xf>
    <xf numFmtId="167" fontId="12" fillId="6" borderId="1" xfId="3" applyNumberFormat="1" applyFont="1" applyFill="1" applyBorder="1" applyAlignment="1">
      <alignment horizontal="right" vertical="center" wrapText="1"/>
    </xf>
    <xf numFmtId="164" fontId="43" fillId="6" borderId="1" xfId="0" applyNumberFormat="1" applyFont="1" applyFill="1" applyBorder="1"/>
    <xf numFmtId="0" fontId="12" fillId="0" borderId="1" xfId="0" applyFont="1" applyBorder="1" applyAlignment="1">
      <alignment horizontal="left" vertical="center" wrapText="1"/>
    </xf>
    <xf numFmtId="0" fontId="11" fillId="0" borderId="1" xfId="0" applyFont="1" applyBorder="1" applyAlignment="1">
      <alignment horizontal="left" vertical="center" wrapText="1"/>
    </xf>
    <xf numFmtId="166" fontId="43" fillId="0" borderId="0" xfId="0" applyNumberFormat="1" applyFont="1"/>
    <xf numFmtId="166" fontId="43" fillId="0" borderId="0" xfId="3" applyFont="1"/>
    <xf numFmtId="0" fontId="11" fillId="0" borderId="1" xfId="0" applyFont="1" applyBorder="1" applyAlignment="1">
      <alignment horizontal="right" vertical="center" wrapText="1"/>
    </xf>
    <xf numFmtId="0" fontId="46" fillId="0" borderId="0" xfId="0" applyFont="1"/>
    <xf numFmtId="0" fontId="51" fillId="6" borderId="0" xfId="0" applyFont="1" applyFill="1"/>
    <xf numFmtId="0" fontId="34" fillId="6" borderId="1" xfId="0" applyFont="1" applyFill="1" applyBorder="1"/>
    <xf numFmtId="0" fontId="34" fillId="5" borderId="1" xfId="0" applyFont="1" applyFill="1" applyBorder="1"/>
    <xf numFmtId="0" fontId="51" fillId="6" borderId="1" xfId="0" applyFont="1" applyFill="1" applyBorder="1"/>
    <xf numFmtId="2" fontId="51" fillId="6" borderId="1" xfId="0" applyNumberFormat="1" applyFont="1" applyFill="1" applyBorder="1"/>
    <xf numFmtId="177" fontId="51" fillId="6" borderId="1" xfId="0" applyNumberFormat="1" applyFont="1" applyFill="1" applyBorder="1"/>
    <xf numFmtId="9" fontId="43" fillId="7" borderId="1" xfId="0" applyNumberFormat="1" applyFont="1" applyFill="1" applyBorder="1"/>
    <xf numFmtId="2" fontId="34" fillId="6" borderId="1" xfId="0" applyNumberFormat="1" applyFont="1" applyFill="1" applyBorder="1"/>
    <xf numFmtId="9" fontId="43" fillId="6" borderId="1" xfId="0" applyNumberFormat="1" applyFont="1" applyFill="1" applyBorder="1"/>
    <xf numFmtId="0" fontId="60" fillId="0" borderId="0" xfId="0" applyFont="1"/>
    <xf numFmtId="0" fontId="34" fillId="0" borderId="1" xfId="0" applyFont="1" applyBorder="1" applyAlignment="1">
      <alignment horizontal="center" vertical="center" wrapText="1"/>
    </xf>
    <xf numFmtId="0" fontId="34" fillId="0" borderId="1" xfId="0" applyFont="1" applyBorder="1" applyAlignment="1">
      <alignment horizontal="left" vertical="center" wrapText="1"/>
    </xf>
    <xf numFmtId="169" fontId="51" fillId="0" borderId="1" xfId="2" applyNumberFormat="1" applyFont="1" applyFill="1" applyBorder="1" applyAlignment="1">
      <alignment horizontal="center" vertical="center" wrapText="1"/>
    </xf>
    <xf numFmtId="0" fontId="12" fillId="6" borderId="1" xfId="0" applyFont="1" applyFill="1" applyBorder="1" applyAlignment="1">
      <alignment horizontal="center" vertical="center" wrapText="1"/>
    </xf>
    <xf numFmtId="169" fontId="11" fillId="0" borderId="1" xfId="2" applyNumberFormat="1" applyFont="1" applyFill="1" applyBorder="1" applyAlignment="1">
      <alignment horizontal="right" vertical="center" wrapText="1"/>
    </xf>
    <xf numFmtId="0" fontId="12" fillId="6" borderId="15" xfId="0" applyFont="1" applyFill="1" applyBorder="1" applyAlignment="1">
      <alignment horizontal="center" vertical="center" wrapText="1"/>
    </xf>
    <xf numFmtId="9" fontId="12" fillId="7" borderId="1" xfId="0" applyNumberFormat="1" applyFont="1" applyFill="1" applyBorder="1" applyAlignment="1">
      <alignment horizontal="center" vertical="center" wrapText="1"/>
    </xf>
    <xf numFmtId="3" fontId="43" fillId="0" borderId="0" xfId="0" applyNumberFormat="1" applyFont="1"/>
    <xf numFmtId="171" fontId="43" fillId="0" borderId="0" xfId="0" applyNumberFormat="1" applyFont="1"/>
    <xf numFmtId="0" fontId="63" fillId="0" borderId="0" xfId="0" applyFont="1"/>
    <xf numFmtId="0" fontId="51" fillId="0" borderId="0" xfId="0" applyFont="1" applyAlignment="1">
      <alignment vertical="center"/>
    </xf>
    <xf numFmtId="0" fontId="64" fillId="0" borderId="0" xfId="0" applyFont="1" applyAlignment="1">
      <alignment vertical="center"/>
    </xf>
    <xf numFmtId="0" fontId="34" fillId="0" borderId="0" xfId="0" applyFont="1" applyAlignment="1">
      <alignment vertical="center"/>
    </xf>
    <xf numFmtId="0" fontId="42" fillId="2" borderId="17" xfId="0" applyFont="1" applyFill="1" applyBorder="1" applyAlignment="1">
      <alignment vertical="center"/>
    </xf>
    <xf numFmtId="0" fontId="42" fillId="2" borderId="13" xfId="0" applyFont="1" applyFill="1" applyBorder="1" applyAlignment="1">
      <alignment horizontal="center"/>
    </xf>
    <xf numFmtId="0" fontId="51" fillId="0" borderId="4" xfId="0" applyFont="1" applyBorder="1" applyAlignment="1">
      <alignment vertical="center"/>
    </xf>
    <xf numFmtId="37" fontId="34" fillId="0" borderId="1" xfId="3" applyNumberFormat="1" applyFont="1" applyFill="1" applyBorder="1" applyAlignment="1">
      <alignment vertical="center"/>
    </xf>
    <xf numFmtId="3" fontId="65" fillId="0" borderId="1" xfId="9" applyNumberFormat="1" applyFont="1" applyFill="1" applyBorder="1" applyAlignment="1">
      <alignment horizontal="right" vertical="center"/>
    </xf>
    <xf numFmtId="0" fontId="66" fillId="0" borderId="4" xfId="0" applyFont="1" applyBorder="1" applyAlignment="1">
      <alignment vertical="center"/>
    </xf>
    <xf numFmtId="4" fontId="51" fillId="0" borderId="1" xfId="3" applyNumberFormat="1" applyFont="1" applyFill="1" applyBorder="1" applyAlignment="1">
      <alignment vertical="center"/>
    </xf>
    <xf numFmtId="0" fontId="34" fillId="0" borderId="4" xfId="0" applyFont="1" applyBorder="1" applyAlignment="1">
      <alignment horizontal="left" vertical="center"/>
    </xf>
    <xf numFmtId="4" fontId="67" fillId="0" borderId="1" xfId="3" applyNumberFormat="1" applyFont="1" applyFill="1" applyBorder="1" applyAlignment="1">
      <alignment vertical="center"/>
    </xf>
    <xf numFmtId="0" fontId="34" fillId="0" borderId="4" xfId="0" applyFont="1" applyBorder="1" applyAlignment="1">
      <alignment horizontal="left" vertical="center" indent="1"/>
    </xf>
    <xf numFmtId="3" fontId="34" fillId="0" borderId="1" xfId="3" applyNumberFormat="1" applyFont="1" applyFill="1" applyBorder="1" applyAlignment="1">
      <alignment vertical="center"/>
    </xf>
    <xf numFmtId="3" fontId="51" fillId="0" borderId="0" xfId="0" applyNumberFormat="1" applyFont="1" applyAlignment="1">
      <alignment vertical="center"/>
    </xf>
    <xf numFmtId="0" fontId="51" fillId="0" borderId="4" xfId="0" applyFont="1" applyBorder="1" applyAlignment="1">
      <alignment horizontal="left" vertical="center" indent="1"/>
    </xf>
    <xf numFmtId="3" fontId="51" fillId="0" borderId="1" xfId="3" applyNumberFormat="1" applyFont="1" applyFill="1" applyBorder="1" applyAlignment="1">
      <alignment vertical="center"/>
    </xf>
    <xf numFmtId="0" fontId="51" fillId="0" borderId="4" xfId="0" applyFont="1" applyBorder="1" applyAlignment="1">
      <alignment horizontal="left" vertical="center"/>
    </xf>
    <xf numFmtId="0" fontId="34" fillId="0" borderId="4" xfId="0" applyFont="1" applyBorder="1" applyAlignment="1">
      <alignment vertical="center"/>
    </xf>
    <xf numFmtId="3" fontId="34" fillId="0" borderId="1" xfId="9" applyNumberFormat="1" applyFont="1" applyFill="1" applyBorder="1" applyAlignment="1">
      <alignment vertical="center"/>
    </xf>
    <xf numFmtId="3" fontId="51" fillId="0" borderId="1" xfId="9" applyNumberFormat="1" applyFont="1" applyFill="1" applyBorder="1" applyAlignment="1">
      <alignment vertical="center"/>
    </xf>
    <xf numFmtId="3" fontId="67" fillId="0" borderId="1" xfId="3" applyNumberFormat="1" applyFont="1" applyFill="1" applyBorder="1" applyAlignment="1">
      <alignment vertical="center"/>
    </xf>
    <xf numFmtId="3" fontId="65" fillId="0" borderId="1" xfId="3" applyNumberFormat="1" applyFont="1" applyFill="1" applyBorder="1" applyAlignment="1">
      <alignment vertical="center"/>
    </xf>
    <xf numFmtId="3" fontId="51" fillId="0" borderId="1" xfId="0" applyNumberFormat="1" applyFont="1" applyBorder="1" applyAlignment="1">
      <alignment vertical="center"/>
    </xf>
    <xf numFmtId="0" fontId="48" fillId="0" borderId="4" xfId="0" applyFont="1" applyBorder="1" applyAlignment="1">
      <alignment vertical="center"/>
    </xf>
    <xf numFmtId="3" fontId="48" fillId="0" borderId="1" xfId="3" applyNumberFormat="1" applyFont="1" applyFill="1" applyBorder="1" applyAlignment="1">
      <alignment vertical="center"/>
    </xf>
    <xf numFmtId="4" fontId="51" fillId="0" borderId="1" xfId="0" applyNumberFormat="1" applyFont="1" applyBorder="1" applyAlignment="1">
      <alignment vertical="center"/>
    </xf>
    <xf numFmtId="0" fontId="68" fillId="0" borderId="4" xfId="0" applyFont="1" applyBorder="1" applyAlignment="1">
      <alignment vertical="center"/>
    </xf>
    <xf numFmtId="4" fontId="69" fillId="0" borderId="1" xfId="0" applyNumberFormat="1" applyFont="1" applyBorder="1" applyAlignment="1">
      <alignment vertical="center"/>
    </xf>
    <xf numFmtId="0" fontId="70" fillId="0" borderId="4" xfId="0" applyFont="1" applyBorder="1" applyAlignment="1">
      <alignment vertical="center"/>
    </xf>
    <xf numFmtId="4" fontId="70" fillId="0" borderId="1" xfId="9" applyNumberFormat="1" applyFont="1" applyFill="1" applyBorder="1" applyAlignment="1">
      <alignment vertical="center"/>
    </xf>
    <xf numFmtId="0" fontId="70" fillId="0" borderId="5" xfId="0" applyFont="1" applyBorder="1" applyAlignment="1">
      <alignment vertical="center"/>
    </xf>
    <xf numFmtId="4" fontId="70" fillId="0" borderId="6" xfId="0" applyNumberFormat="1" applyFont="1" applyBorder="1" applyAlignment="1">
      <alignment vertical="center"/>
    </xf>
    <xf numFmtId="4" fontId="51" fillId="0" borderId="0" xfId="0" applyNumberFormat="1" applyFont="1" applyAlignment="1">
      <alignment vertical="center"/>
    </xf>
    <xf numFmtId="43" fontId="34" fillId="0" borderId="1" xfId="2" applyFont="1" applyFill="1" applyBorder="1" applyAlignment="1">
      <alignment vertical="center"/>
    </xf>
    <xf numFmtId="0" fontId="42" fillId="2" borderId="1" xfId="0" applyFont="1" applyFill="1" applyBorder="1" applyAlignment="1">
      <alignment wrapText="1"/>
    </xf>
    <xf numFmtId="0" fontId="48" fillId="0" borderId="1" xfId="0" applyFont="1" applyBorder="1" applyAlignment="1">
      <alignment wrapText="1"/>
    </xf>
    <xf numFmtId="169" fontId="52" fillId="0" borderId="1" xfId="3" applyNumberFormat="1" applyFont="1" applyFill="1" applyBorder="1" applyAlignment="1">
      <alignment wrapText="1"/>
    </xf>
    <xf numFmtId="0" fontId="52" fillId="0" borderId="1" xfId="0" applyFont="1" applyBorder="1" applyAlignment="1">
      <alignment horizontal="left" wrapText="1"/>
    </xf>
    <xf numFmtId="169" fontId="48" fillId="0" borderId="1" xfId="3" applyNumberFormat="1" applyFont="1" applyFill="1" applyBorder="1" applyAlignment="1">
      <alignment wrapText="1"/>
    </xf>
    <xf numFmtId="0" fontId="52" fillId="0" borderId="1" xfId="0" applyFont="1" applyBorder="1" applyAlignment="1">
      <alignment wrapText="1"/>
    </xf>
    <xf numFmtId="0" fontId="52" fillId="0" borderId="1" xfId="0" applyFont="1" applyBorder="1" applyAlignment="1">
      <alignment horizontal="right" wrapText="1"/>
    </xf>
    <xf numFmtId="167" fontId="52" fillId="0" borderId="1" xfId="3" applyNumberFormat="1" applyFont="1" applyFill="1" applyBorder="1" applyAlignment="1">
      <alignment wrapText="1"/>
    </xf>
    <xf numFmtId="0" fontId="52" fillId="0" borderId="1" xfId="0" applyFont="1" applyBorder="1" applyAlignment="1">
      <alignment vertical="center" wrapText="1"/>
    </xf>
    <xf numFmtId="169" fontId="52" fillId="0" borderId="1" xfId="2" applyNumberFormat="1" applyFont="1" applyFill="1" applyBorder="1" applyAlignment="1">
      <alignment wrapText="1"/>
    </xf>
    <xf numFmtId="0" fontId="48" fillId="0" borderId="1" xfId="0" applyFont="1" applyBorder="1" applyAlignment="1">
      <alignment horizontal="right" wrapText="1"/>
    </xf>
    <xf numFmtId="169" fontId="52" fillId="4" borderId="1" xfId="3" applyNumberFormat="1" applyFont="1" applyFill="1" applyBorder="1" applyAlignment="1">
      <alignment wrapText="1"/>
    </xf>
    <xf numFmtId="169" fontId="48" fillId="0" borderId="1" xfId="2" applyNumberFormat="1" applyFont="1" applyFill="1" applyBorder="1" applyAlignment="1">
      <alignment wrapText="1"/>
    </xf>
    <xf numFmtId="169" fontId="48" fillId="0" borderId="1" xfId="0" applyNumberFormat="1" applyFont="1" applyBorder="1" applyAlignment="1">
      <alignment wrapText="1"/>
    </xf>
    <xf numFmtId="169" fontId="52" fillId="0" borderId="1" xfId="0" applyNumberFormat="1" applyFont="1" applyBorder="1" applyAlignment="1">
      <alignment wrapText="1"/>
    </xf>
    <xf numFmtId="0" fontId="48" fillId="0" borderId="1" xfId="0" applyFont="1" applyBorder="1" applyAlignment="1">
      <alignment horizontal="left" wrapText="1"/>
    </xf>
    <xf numFmtId="0" fontId="73" fillId="0" borderId="0" xfId="0" applyFont="1"/>
    <xf numFmtId="0" fontId="54" fillId="5" borderId="1" xfId="0" applyFont="1" applyFill="1" applyBorder="1" applyAlignment="1">
      <alignment horizontal="left"/>
    </xf>
    <xf numFmtId="0" fontId="74" fillId="5" borderId="1" xfId="0" applyFont="1" applyFill="1" applyBorder="1" applyAlignment="1">
      <alignment horizontal="center"/>
    </xf>
    <xf numFmtId="3" fontId="52" fillId="0" borderId="1" xfId="0" applyNumberFormat="1" applyFont="1" applyBorder="1"/>
    <xf numFmtId="169" fontId="52" fillId="0" borderId="1" xfId="2" applyNumberFormat="1" applyFont="1" applyBorder="1"/>
    <xf numFmtId="10" fontId="52" fillId="0" borderId="1" xfId="0" applyNumberFormat="1" applyFont="1" applyBorder="1"/>
    <xf numFmtId="179" fontId="52" fillId="0" borderId="1" xfId="0" applyNumberFormat="1" applyFont="1" applyBorder="1"/>
    <xf numFmtId="4" fontId="52" fillId="0" borderId="1" xfId="0" applyNumberFormat="1" applyFont="1" applyBorder="1"/>
    <xf numFmtId="0" fontId="52" fillId="0" borderId="1" xfId="0" quotePrefix="1" applyFont="1" applyBorder="1" applyAlignment="1">
      <alignment horizontal="left"/>
    </xf>
    <xf numFmtId="4" fontId="75" fillId="0" borderId="1" xfId="0" applyNumberFormat="1" applyFont="1" applyBorder="1"/>
    <xf numFmtId="4" fontId="43" fillId="0" borderId="1" xfId="0" applyNumberFormat="1" applyFont="1" applyBorder="1"/>
    <xf numFmtId="4" fontId="43" fillId="0" borderId="0" xfId="0" applyNumberFormat="1" applyFont="1"/>
    <xf numFmtId="0" fontId="52" fillId="0" borderId="0" xfId="0" applyFont="1"/>
    <xf numFmtId="0" fontId="54" fillId="5" borderId="1" xfId="0" applyFont="1" applyFill="1" applyBorder="1"/>
    <xf numFmtId="0" fontId="54" fillId="5" borderId="1" xfId="0" applyFont="1" applyFill="1" applyBorder="1" applyAlignment="1">
      <alignment horizontal="center"/>
    </xf>
    <xf numFmtId="9" fontId="43" fillId="0" borderId="1" xfId="1" applyFont="1" applyBorder="1"/>
    <xf numFmtId="10" fontId="44" fillId="0" borderId="0" xfId="1" applyNumberFormat="1" applyFont="1"/>
    <xf numFmtId="3" fontId="43" fillId="0" borderId="1" xfId="0" applyNumberFormat="1" applyFont="1" applyBorder="1"/>
    <xf numFmtId="43" fontId="43" fillId="0" borderId="0" xfId="0" applyNumberFormat="1" applyFont="1"/>
    <xf numFmtId="0" fontId="76" fillId="5" borderId="1" xfId="0" applyFont="1" applyFill="1" applyBorder="1" applyAlignment="1">
      <alignment horizontal="center"/>
    </xf>
    <xf numFmtId="0" fontId="77" fillId="0" borderId="1" xfId="0" applyFont="1" applyBorder="1" applyAlignment="1">
      <alignment horizontal="center"/>
    </xf>
    <xf numFmtId="0" fontId="78" fillId="0" borderId="1" xfId="0" applyFont="1" applyBorder="1" applyAlignment="1">
      <alignment horizontal="center"/>
    </xf>
    <xf numFmtId="0" fontId="44" fillId="0" borderId="1" xfId="0" applyFont="1" applyBorder="1" applyAlignment="1">
      <alignment horizontal="center" vertical="center"/>
    </xf>
    <xf numFmtId="10" fontId="44" fillId="0" borderId="1" xfId="1" applyNumberFormat="1" applyFont="1" applyBorder="1" applyAlignment="1"/>
    <xf numFmtId="0" fontId="52" fillId="0" borderId="1" xfId="0" applyFont="1" applyBorder="1" applyAlignment="1">
      <alignment horizontal="center"/>
    </xf>
    <xf numFmtId="0" fontId="51" fillId="0" borderId="1" xfId="0" applyFont="1" applyBorder="1" applyAlignment="1">
      <alignment horizontal="center"/>
    </xf>
    <xf numFmtId="169" fontId="52" fillId="0" borderId="1" xfId="2" applyNumberFormat="1" applyFont="1" applyBorder="1" applyAlignment="1">
      <alignment horizontal="center"/>
    </xf>
    <xf numFmtId="169" fontId="43" fillId="0" borderId="1" xfId="2" applyNumberFormat="1" applyFont="1" applyBorder="1" applyAlignment="1"/>
    <xf numFmtId="0" fontId="43" fillId="0" borderId="1" xfId="0" applyFont="1" applyBorder="1" applyAlignment="1">
      <alignment horizontal="center" vertical="center"/>
    </xf>
    <xf numFmtId="169" fontId="44" fillId="0" borderId="1" xfId="2" applyNumberFormat="1" applyFont="1" applyBorder="1" applyAlignment="1"/>
    <xf numFmtId="2" fontId="44" fillId="0" borderId="0" xfId="0" applyNumberFormat="1" applyFont="1"/>
    <xf numFmtId="169" fontId="44" fillId="0" borderId="1" xfId="0" applyNumberFormat="1" applyFont="1" applyBorder="1"/>
    <xf numFmtId="169" fontId="52" fillId="0" borderId="1" xfId="2" applyNumberFormat="1" applyFont="1" applyFill="1" applyBorder="1"/>
    <xf numFmtId="9" fontId="44" fillId="7" borderId="0" xfId="0" applyNumberFormat="1" applyFont="1" applyFill="1"/>
    <xf numFmtId="169" fontId="48" fillId="0" borderId="1" xfId="2" applyNumberFormat="1" applyFont="1" applyFill="1" applyBorder="1"/>
    <xf numFmtId="171" fontId="52" fillId="0" borderId="0" xfId="10" applyNumberFormat="1" applyFont="1" applyFill="1"/>
    <xf numFmtId="171" fontId="52" fillId="0" borderId="1" xfId="10" applyNumberFormat="1" applyFont="1" applyFill="1" applyBorder="1"/>
    <xf numFmtId="176" fontId="52" fillId="0" borderId="1" xfId="10" applyNumberFormat="1" applyFont="1" applyFill="1" applyBorder="1"/>
    <xf numFmtId="171" fontId="48" fillId="0" borderId="1" xfId="10" applyNumberFormat="1" applyFont="1" applyFill="1" applyBorder="1"/>
    <xf numFmtId="0" fontId="42" fillId="0" borderId="0" xfId="0" applyFont="1" applyAlignment="1">
      <alignment horizontal="center"/>
    </xf>
    <xf numFmtId="1" fontId="43" fillId="0" borderId="0" xfId="0" applyNumberFormat="1" applyFont="1"/>
    <xf numFmtId="169" fontId="44" fillId="0" borderId="0" xfId="2" applyNumberFormat="1" applyFont="1" applyFill="1" applyBorder="1"/>
    <xf numFmtId="170" fontId="43" fillId="0" borderId="0" xfId="0" applyNumberFormat="1" applyFont="1"/>
    <xf numFmtId="0" fontId="42" fillId="5" borderId="1" xfId="0" applyFont="1" applyFill="1" applyBorder="1" applyAlignment="1">
      <alignment wrapText="1"/>
    </xf>
    <xf numFmtId="0" fontId="44" fillId="0" borderId="10" xfId="0" applyFont="1" applyBorder="1" applyAlignment="1">
      <alignment wrapText="1"/>
    </xf>
    <xf numFmtId="9" fontId="43" fillId="6" borderId="1" xfId="1" applyFont="1" applyFill="1" applyBorder="1"/>
    <xf numFmtId="0" fontId="43" fillId="7" borderId="1" xfId="0" applyFont="1" applyFill="1" applyBorder="1"/>
    <xf numFmtId="0" fontId="43" fillId="0" borderId="13" xfId="0" applyFont="1" applyBorder="1" applyAlignment="1">
      <alignment horizontal="center" vertical="center"/>
    </xf>
    <xf numFmtId="0" fontId="43" fillId="0" borderId="1" xfId="1" applyNumberFormat="1" applyFont="1" applyFill="1" applyBorder="1"/>
    <xf numFmtId="0" fontId="43" fillId="0" borderId="19" xfId="0" applyFont="1" applyBorder="1" applyAlignment="1">
      <alignment vertical="center" wrapText="1"/>
    </xf>
    <xf numFmtId="0" fontId="43" fillId="0" borderId="2" xfId="0" applyFont="1" applyBorder="1" applyAlignment="1">
      <alignment vertical="center" wrapText="1"/>
    </xf>
    <xf numFmtId="0" fontId="43" fillId="0" borderId="13" xfId="0" applyFont="1" applyBorder="1" applyAlignment="1">
      <alignment vertical="center" wrapText="1"/>
    </xf>
    <xf numFmtId="9" fontId="42" fillId="7" borderId="1" xfId="0" applyNumberFormat="1" applyFont="1" applyFill="1" applyBorder="1"/>
    <xf numFmtId="0" fontId="43" fillId="0" borderId="2" xfId="0" applyFont="1" applyBorder="1"/>
    <xf numFmtId="9" fontId="42" fillId="7" borderId="1" xfId="0" applyNumberFormat="1" applyFont="1" applyFill="1" applyBorder="1" applyAlignment="1">
      <alignment horizontal="center"/>
    </xf>
    <xf numFmtId="9" fontId="54" fillId="7" borderId="1" xfId="0" applyNumberFormat="1" applyFont="1" applyFill="1" applyBorder="1"/>
    <xf numFmtId="170" fontId="54" fillId="7" borderId="1" xfId="0" applyNumberFormat="1" applyFont="1" applyFill="1" applyBorder="1"/>
    <xf numFmtId="0" fontId="44" fillId="0" borderId="13" xfId="0" applyFont="1" applyBorder="1" applyAlignment="1">
      <alignment horizontal="center" vertical="center"/>
    </xf>
    <xf numFmtId="0" fontId="43" fillId="6" borderId="1" xfId="1" applyNumberFormat="1" applyFont="1" applyFill="1" applyBorder="1"/>
    <xf numFmtId="1" fontId="43" fillId="0" borderId="1" xfId="0" applyNumberFormat="1" applyFont="1" applyBorder="1"/>
    <xf numFmtId="169" fontId="44" fillId="6" borderId="1" xfId="2" applyNumberFormat="1" applyFont="1" applyFill="1" applyBorder="1"/>
    <xf numFmtId="9" fontId="43" fillId="0" borderId="1" xfId="1" applyFont="1" applyFill="1" applyBorder="1"/>
    <xf numFmtId="166" fontId="43" fillId="6" borderId="0" xfId="0" applyNumberFormat="1" applyFont="1" applyFill="1"/>
    <xf numFmtId="169" fontId="43" fillId="6" borderId="1" xfId="2" applyNumberFormat="1" applyFont="1" applyFill="1" applyBorder="1"/>
    <xf numFmtId="0" fontId="42" fillId="5" borderId="2" xfId="0" applyFont="1" applyFill="1" applyBorder="1" applyAlignment="1">
      <alignment wrapText="1"/>
    </xf>
    <xf numFmtId="0" fontId="43" fillId="0" borderId="1" xfId="0" applyFont="1" applyBorder="1" applyAlignment="1">
      <alignment horizontal="center"/>
    </xf>
    <xf numFmtId="0" fontId="43" fillId="6" borderId="1" xfId="0" applyFont="1" applyFill="1" applyBorder="1" applyAlignment="1">
      <alignment wrapText="1"/>
    </xf>
    <xf numFmtId="169" fontId="43" fillId="6" borderId="1" xfId="2" applyNumberFormat="1" applyFont="1" applyFill="1" applyBorder="1" applyAlignment="1">
      <alignment wrapText="1"/>
    </xf>
    <xf numFmtId="169" fontId="44" fillId="0" borderId="0" xfId="2" applyNumberFormat="1" applyFont="1" applyBorder="1"/>
    <xf numFmtId="167" fontId="43" fillId="0" borderId="1" xfId="3" applyNumberFormat="1" applyFont="1" applyFill="1" applyBorder="1"/>
    <xf numFmtId="167" fontId="43" fillId="6" borderId="1" xfId="3" applyNumberFormat="1" applyFont="1" applyFill="1" applyBorder="1"/>
    <xf numFmtId="0" fontId="43" fillId="0" borderId="13" xfId="0" applyFont="1" applyBorder="1"/>
    <xf numFmtId="169" fontId="43" fillId="6" borderId="13" xfId="2" applyNumberFormat="1" applyFont="1" applyFill="1" applyBorder="1"/>
    <xf numFmtId="169" fontId="43" fillId="0" borderId="13" xfId="2" applyNumberFormat="1" applyFont="1" applyBorder="1"/>
    <xf numFmtId="169" fontId="43" fillId="0" borderId="15" xfId="2" applyNumberFormat="1" applyFont="1" applyBorder="1"/>
    <xf numFmtId="169" fontId="44" fillId="0" borderId="1" xfId="2" applyNumberFormat="1" applyFont="1" applyBorder="1" applyAlignment="1">
      <alignment wrapText="1"/>
    </xf>
    <xf numFmtId="180" fontId="43" fillId="0" borderId="0" xfId="0" applyNumberFormat="1" applyFont="1"/>
    <xf numFmtId="10" fontId="42" fillId="2" borderId="1" xfId="0" applyNumberFormat="1" applyFont="1" applyFill="1" applyBorder="1"/>
    <xf numFmtId="10" fontId="42" fillId="2" borderId="1" xfId="0" applyNumberFormat="1" applyFont="1" applyFill="1" applyBorder="1" applyAlignment="1">
      <alignment horizontal="center"/>
    </xf>
    <xf numFmtId="9" fontId="44" fillId="0" borderId="1" xfId="0" applyNumberFormat="1" applyFont="1" applyBorder="1"/>
    <xf numFmtId="167" fontId="43" fillId="0" borderId="1" xfId="3" applyNumberFormat="1" applyFont="1" applyBorder="1"/>
    <xf numFmtId="0" fontId="80" fillId="0" borderId="1" xfId="0" applyFont="1" applyBorder="1"/>
    <xf numFmtId="10" fontId="0" fillId="0" borderId="1" xfId="1" applyNumberFormat="1" applyFont="1" applyBorder="1" applyAlignment="1">
      <alignment horizontal="center" vertical="center"/>
    </xf>
    <xf numFmtId="0" fontId="0" fillId="0" borderId="1" xfId="0" applyBorder="1" applyAlignment="1">
      <alignment horizontal="left"/>
    </xf>
    <xf numFmtId="9" fontId="0" fillId="0" borderId="1" xfId="1" applyFont="1" applyBorder="1" applyAlignment="1">
      <alignment horizontal="center"/>
    </xf>
    <xf numFmtId="0" fontId="2" fillId="0" borderId="1" xfId="0" applyFont="1" applyBorder="1" applyAlignment="1">
      <alignment horizontal="left" vertical="center" wrapText="1"/>
    </xf>
    <xf numFmtId="0" fontId="0" fillId="0" borderId="20" xfId="0" applyBorder="1" applyAlignment="1">
      <alignment horizontal="center" vertical="center" wrapText="1"/>
    </xf>
    <xf numFmtId="0" fontId="0" fillId="0" borderId="15" xfId="0" applyBorder="1" applyAlignment="1">
      <alignment horizontal="center" vertical="center" wrapText="1"/>
    </xf>
    <xf numFmtId="0" fontId="36" fillId="10" borderId="1" xfId="0" applyFont="1" applyFill="1" applyBorder="1" applyAlignment="1">
      <alignment horizontal="left" vertical="center" wrapText="1"/>
    </xf>
    <xf numFmtId="0" fontId="0" fillId="0" borderId="19" xfId="0" applyBorder="1" applyAlignment="1">
      <alignment horizontal="left" vertical="center" wrapText="1"/>
    </xf>
    <xf numFmtId="0" fontId="0" fillId="0" borderId="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20" xfId="0" applyBorder="1" applyAlignment="1">
      <alignment horizontal="left" vertical="center" wrapText="1"/>
    </xf>
    <xf numFmtId="0" fontId="0" fillId="0" borderId="15" xfId="0" applyBorder="1" applyAlignment="1">
      <alignment horizontal="left" vertical="center" wrapText="1"/>
    </xf>
    <xf numFmtId="0" fontId="36" fillId="9"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4" xfId="0" applyFont="1" applyBorder="1" applyAlignment="1">
      <alignment horizontal="left" vertical="center" wrapText="1"/>
    </xf>
    <xf numFmtId="0" fontId="2" fillId="0" borderId="20" xfId="0" applyFont="1" applyBorder="1" applyAlignment="1">
      <alignment horizontal="left" vertical="center" wrapText="1"/>
    </xf>
    <xf numFmtId="0" fontId="2" fillId="0" borderId="15" xfId="0" applyFont="1" applyBorder="1" applyAlignment="1">
      <alignment horizontal="left" vertical="center" wrapText="1"/>
    </xf>
    <xf numFmtId="0" fontId="37" fillId="0" borderId="12" xfId="0" applyFont="1" applyBorder="1" applyAlignment="1">
      <alignment horizontal="center" vertical="center" wrapText="1"/>
    </xf>
    <xf numFmtId="0" fontId="38" fillId="8" borderId="1" xfId="0" applyFont="1" applyFill="1" applyBorder="1" applyAlignment="1">
      <alignment horizontal="center" vertical="center" wrapText="1"/>
    </xf>
    <xf numFmtId="0" fontId="46" fillId="0" borderId="0" xfId="0" applyFont="1" applyAlignment="1">
      <alignment horizontal="center"/>
    </xf>
    <xf numFmtId="0" fontId="58" fillId="0" borderId="1" xfId="0" applyFont="1" applyBorder="1" applyAlignment="1">
      <alignment horizontal="center" vertical="center" wrapText="1"/>
    </xf>
    <xf numFmtId="0" fontId="44" fillId="0" borderId="0" xfId="0" applyFont="1" applyAlignment="1">
      <alignment horizontal="center"/>
    </xf>
    <xf numFmtId="0" fontId="59" fillId="0" borderId="0" xfId="0" applyFont="1" applyAlignment="1">
      <alignment horizontal="center" wrapText="1"/>
    </xf>
    <xf numFmtId="0" fontId="12" fillId="0" borderId="1" xfId="0" applyFont="1" applyBorder="1" applyAlignment="1">
      <alignment horizontal="center" vertical="center" wrapText="1"/>
    </xf>
    <xf numFmtId="0" fontId="31" fillId="0" borderId="0" xfId="0" applyFont="1" applyAlignment="1">
      <alignment horizontal="left" wrapText="1"/>
    </xf>
    <xf numFmtId="0" fontId="44" fillId="7" borderId="0" xfId="0" applyFont="1" applyFill="1" applyAlignment="1">
      <alignment horizontal="center"/>
    </xf>
    <xf numFmtId="0" fontId="44" fillId="0" borderId="1" xfId="0" applyFont="1" applyBorder="1" applyAlignment="1">
      <alignment horizontal="center" vertical="center" wrapText="1"/>
    </xf>
    <xf numFmtId="0" fontId="44" fillId="0" borderId="1" xfId="0" applyFont="1" applyBorder="1" applyAlignment="1">
      <alignment horizontal="center" wrapText="1"/>
    </xf>
    <xf numFmtId="0" fontId="47" fillId="0" borderId="0" xfId="6" applyFont="1" applyAlignment="1">
      <alignment horizontal="center"/>
    </xf>
    <xf numFmtId="0" fontId="34" fillId="0" borderId="0" xfId="0" applyFont="1" applyAlignment="1">
      <alignment horizontal="center" vertical="center" wrapText="1"/>
    </xf>
    <xf numFmtId="0" fontId="34" fillId="0" borderId="0" xfId="6" applyFont="1" applyAlignment="1">
      <alignment horizontal="center"/>
    </xf>
    <xf numFmtId="0" fontId="44" fillId="0" borderId="12" xfId="0" applyFont="1" applyBorder="1" applyAlignment="1">
      <alignment horizontal="center"/>
    </xf>
    <xf numFmtId="0" fontId="0" fillId="0" borderId="1" xfId="0" applyBorder="1" applyAlignment="1">
      <alignment horizontal="center"/>
    </xf>
    <xf numFmtId="10" fontId="0" fillId="0" borderId="1" xfId="1" applyNumberFormat="1" applyFont="1" applyBorder="1" applyAlignment="1">
      <alignment horizontal="center" vertical="center"/>
    </xf>
    <xf numFmtId="10" fontId="0" fillId="0" borderId="19" xfId="1" applyNumberFormat="1" applyFont="1" applyBorder="1" applyAlignment="1">
      <alignment horizontal="center" vertical="center"/>
    </xf>
    <xf numFmtId="10" fontId="0" fillId="0" borderId="2" xfId="1" applyNumberFormat="1" applyFont="1" applyBorder="1" applyAlignment="1">
      <alignment horizontal="center" vertical="center"/>
    </xf>
    <xf numFmtId="10" fontId="0" fillId="0" borderId="13" xfId="1" applyNumberFormat="1" applyFont="1" applyBorder="1" applyAlignment="1">
      <alignment horizontal="center" vertical="center"/>
    </xf>
    <xf numFmtId="0" fontId="46" fillId="0" borderId="18" xfId="0" applyFont="1" applyBorder="1" applyAlignment="1">
      <alignment horizontal="center"/>
    </xf>
    <xf numFmtId="0" fontId="44" fillId="0" borderId="0" xfId="0" applyFont="1" applyAlignment="1">
      <alignment horizontal="center" wrapText="1"/>
    </xf>
    <xf numFmtId="0" fontId="34" fillId="6" borderId="12" xfId="0" applyFont="1" applyFill="1" applyBorder="1" applyAlignment="1">
      <alignment horizontal="center"/>
    </xf>
    <xf numFmtId="0" fontId="34" fillId="6" borderId="0" xfId="0" applyFont="1" applyFill="1" applyAlignment="1">
      <alignment horizontal="center"/>
    </xf>
    <xf numFmtId="0" fontId="31" fillId="0" borderId="0" xfId="0" applyFont="1" applyAlignment="1">
      <alignment horizontal="center" wrapText="1"/>
    </xf>
    <xf numFmtId="0" fontId="61" fillId="0" borderId="0" xfId="0" applyFont="1" applyAlignment="1">
      <alignment horizontal="center" wrapText="1"/>
    </xf>
    <xf numFmtId="0" fontId="62" fillId="0" borderId="0" xfId="0" applyFont="1" applyAlignment="1">
      <alignment horizontal="center" wrapText="1"/>
    </xf>
    <xf numFmtId="0" fontId="10" fillId="2" borderId="1" xfId="0" applyFont="1" applyFill="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0" fillId="2" borderId="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29" fillId="0" borderId="0" xfId="0" applyFont="1" applyAlignment="1">
      <alignment horizontal="center" wrapText="1"/>
    </xf>
    <xf numFmtId="0" fontId="46" fillId="0" borderId="16" xfId="0" applyFont="1" applyBorder="1" applyAlignment="1">
      <alignment horizontal="center"/>
    </xf>
    <xf numFmtId="0" fontId="30" fillId="0" borderId="0" xfId="0" applyFont="1" applyAlignment="1">
      <alignment horizontal="center" wrapText="1"/>
    </xf>
    <xf numFmtId="0" fontId="71" fillId="0" borderId="0" xfId="0" applyFont="1" applyAlignment="1">
      <alignment horizontal="center" wrapText="1"/>
    </xf>
    <xf numFmtId="0" fontId="48" fillId="0" borderId="1" xfId="0" applyFont="1" applyBorder="1" applyAlignment="1">
      <alignment horizontal="center" wrapText="1"/>
    </xf>
    <xf numFmtId="0" fontId="12" fillId="0" borderId="0" xfId="0" applyFont="1" applyAlignment="1">
      <alignment horizontal="center" wrapText="1"/>
    </xf>
    <xf numFmtId="0" fontId="35" fillId="0" borderId="0" xfId="0" applyFont="1" applyAlignment="1">
      <alignment horizontal="center" wrapText="1"/>
    </xf>
    <xf numFmtId="0" fontId="72" fillId="0" borderId="11" xfId="0" applyFont="1" applyBorder="1" applyAlignment="1">
      <alignment horizontal="center"/>
    </xf>
    <xf numFmtId="0" fontId="72" fillId="0" borderId="12" xfId="0" applyFont="1" applyBorder="1" applyAlignment="1">
      <alignment horizontal="center"/>
    </xf>
    <xf numFmtId="0" fontId="79" fillId="0" borderId="0" xfId="0" applyFont="1" applyAlignment="1">
      <alignment horizontal="center"/>
    </xf>
    <xf numFmtId="3" fontId="52" fillId="0" borderId="1" xfId="0" applyNumberFormat="1" applyFont="1" applyBorder="1" applyAlignment="1">
      <alignment horizontal="center"/>
    </xf>
    <xf numFmtId="3" fontId="52" fillId="0" borderId="0" xfId="0" applyNumberFormat="1" applyFont="1" applyAlignment="1">
      <alignment horizontal="center"/>
    </xf>
    <xf numFmtId="0" fontId="31" fillId="0" borderId="0" xfId="0" applyFont="1" applyAlignment="1">
      <alignment horizontal="center"/>
    </xf>
    <xf numFmtId="2" fontId="43" fillId="0" borderId="1" xfId="2" applyNumberFormat="1" applyFont="1" applyBorder="1" applyAlignment="1">
      <alignment horizontal="center"/>
    </xf>
    <xf numFmtId="0" fontId="72" fillId="0" borderId="0" xfId="0" applyFont="1" applyAlignment="1">
      <alignment horizontal="center"/>
    </xf>
    <xf numFmtId="0" fontId="34" fillId="0" borderId="0" xfId="8" applyFont="1" applyAlignment="1" applyProtection="1">
      <alignment horizontal="center" wrapText="1"/>
    </xf>
    <xf numFmtId="0" fontId="33" fillId="0" borderId="0" xfId="0" applyFont="1" applyAlignment="1">
      <alignment horizontal="center" wrapText="1"/>
    </xf>
    <xf numFmtId="0" fontId="46" fillId="0" borderId="12" xfId="0" applyFont="1" applyBorder="1" applyAlignment="1">
      <alignment horizontal="center"/>
    </xf>
    <xf numFmtId="0" fontId="54" fillId="5" borderId="19" xfId="0" applyFont="1" applyFill="1" applyBorder="1" applyAlignment="1">
      <alignment horizontal="left" vertical="center"/>
    </xf>
    <xf numFmtId="0" fontId="54" fillId="5" borderId="13" xfId="0" applyFont="1" applyFill="1" applyBorder="1" applyAlignment="1">
      <alignment horizontal="left" vertical="center"/>
    </xf>
    <xf numFmtId="0" fontId="43" fillId="0" borderId="0" xfId="0" applyFont="1" applyAlignment="1">
      <alignment horizontal="center"/>
    </xf>
    <xf numFmtId="0" fontId="43" fillId="0" borderId="19" xfId="0" applyFont="1" applyBorder="1" applyAlignment="1">
      <alignment horizontal="center" vertical="center"/>
    </xf>
    <xf numFmtId="0" fontId="43" fillId="0" borderId="2" xfId="0" applyFont="1" applyBorder="1" applyAlignment="1">
      <alignment horizontal="center" vertical="center"/>
    </xf>
    <xf numFmtId="0" fontId="43" fillId="0" borderId="13" xfId="0" applyFont="1" applyBorder="1" applyAlignment="1">
      <alignment horizontal="center" vertical="center"/>
    </xf>
    <xf numFmtId="0" fontId="46" fillId="0" borderId="14" xfId="0" applyFont="1" applyBorder="1" applyAlignment="1">
      <alignment horizontal="center"/>
    </xf>
    <xf numFmtId="0" fontId="46" fillId="0" borderId="20" xfId="0" applyFont="1" applyBorder="1" applyAlignment="1">
      <alignment horizontal="center"/>
    </xf>
    <xf numFmtId="0" fontId="46" fillId="0" borderId="15" xfId="0" applyFont="1" applyBorder="1" applyAlignment="1">
      <alignment horizontal="center"/>
    </xf>
    <xf numFmtId="0" fontId="42" fillId="5" borderId="19" xfId="0" applyFont="1" applyFill="1" applyBorder="1" applyAlignment="1">
      <alignment vertical="center"/>
    </xf>
    <xf numFmtId="0" fontId="42" fillId="5" borderId="13" xfId="0" applyFont="1" applyFill="1" applyBorder="1" applyAlignment="1">
      <alignment vertical="center"/>
    </xf>
    <xf numFmtId="0" fontId="47" fillId="0" borderId="14" xfId="0" applyFont="1" applyBorder="1" applyAlignment="1">
      <alignment horizontal="center"/>
    </xf>
    <xf numFmtId="0" fontId="47" fillId="0" borderId="20" xfId="0" applyFont="1" applyBorder="1" applyAlignment="1">
      <alignment horizontal="center"/>
    </xf>
    <xf numFmtId="0" fontId="47" fillId="0" borderId="15" xfId="0" applyFont="1" applyBorder="1" applyAlignment="1">
      <alignment horizontal="center"/>
    </xf>
    <xf numFmtId="0" fontId="42" fillId="5" borderId="19" xfId="0" applyFont="1" applyFill="1" applyBorder="1" applyAlignment="1">
      <alignment horizontal="left" vertical="center"/>
    </xf>
    <xf numFmtId="0" fontId="42" fillId="5" borderId="13" xfId="0" applyFont="1" applyFill="1" applyBorder="1" applyAlignment="1">
      <alignment horizontal="left" vertical="center"/>
    </xf>
    <xf numFmtId="0" fontId="34" fillId="0" borderId="14" xfId="0" applyFont="1" applyBorder="1" applyAlignment="1">
      <alignment horizontal="center"/>
    </xf>
    <xf numFmtId="0" fontId="34" fillId="0" borderId="20" xfId="0" applyFont="1" applyBorder="1" applyAlignment="1">
      <alignment horizontal="center"/>
    </xf>
    <xf numFmtId="0" fontId="34" fillId="0" borderId="15" xfId="0" applyFont="1" applyBorder="1" applyAlignment="1">
      <alignment horizontal="center"/>
    </xf>
    <xf numFmtId="0" fontId="23" fillId="0" borderId="0" xfId="0" applyFont="1" applyAlignment="1">
      <alignment horizontal="center"/>
    </xf>
    <xf numFmtId="0" fontId="28" fillId="0" borderId="0" xfId="6" applyFont="1" applyAlignment="1">
      <alignment horizontal="center"/>
    </xf>
    <xf numFmtId="0" fontId="13" fillId="0" borderId="0" xfId="0" applyFont="1" applyAlignment="1">
      <alignment horizontal="center" vertical="center" wrapText="1"/>
    </xf>
    <xf numFmtId="0" fontId="23" fillId="0" borderId="18" xfId="0" applyFont="1" applyBorder="1" applyAlignment="1">
      <alignment horizontal="center"/>
    </xf>
    <xf numFmtId="0" fontId="22"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Alignment="1">
      <alignment horizontal="center"/>
    </xf>
    <xf numFmtId="2" fontId="24" fillId="0" borderId="1" xfId="2" applyNumberFormat="1" applyFont="1" applyBorder="1" applyAlignment="1">
      <alignment horizontal="center"/>
    </xf>
    <xf numFmtId="10" fontId="25" fillId="0" borderId="1" xfId="1" applyNumberFormat="1" applyFont="1" applyBorder="1" applyAlignment="1">
      <alignment horizontal="center"/>
    </xf>
    <xf numFmtId="0" fontId="42" fillId="12" borderId="14" xfId="0" applyFont="1" applyFill="1" applyBorder="1" applyAlignment="1">
      <alignment horizontal="center" wrapText="1"/>
    </xf>
    <xf numFmtId="0" fontId="42" fillId="12" borderId="20" xfId="0" applyFont="1" applyFill="1" applyBorder="1" applyAlignment="1">
      <alignment horizontal="center" wrapText="1"/>
    </xf>
  </cellXfs>
  <cellStyles count="11">
    <cellStyle name="Comma" xfId="2" builtinId="3"/>
    <cellStyle name="Comma 2" xfId="3" xr:uid="{00000000-0005-0000-0000-000001000000}"/>
    <cellStyle name="Comma 2 2" xfId="10" xr:uid="{00000000-0005-0000-0000-000002000000}"/>
    <cellStyle name="Comma 3" xfId="4" xr:uid="{00000000-0005-0000-0000-000003000000}"/>
    <cellStyle name="Currency 2" xfId="5" xr:uid="{00000000-0005-0000-0000-000004000000}"/>
    <cellStyle name="Currency 3" xfId="9" xr:uid="{00000000-0005-0000-0000-000005000000}"/>
    <cellStyle name="Hyperlink" xfId="8" builtinId="8"/>
    <cellStyle name="Normal" xfId="0" builtinId="0"/>
    <cellStyle name="Normal 3" xfId="6" xr:uid="{00000000-0005-0000-0000-000008000000}"/>
    <cellStyle name="Percent" xfId="1" builtinId="5"/>
    <cellStyle name="Percent 2" xfId="7" xr:uid="{00000000-0005-0000-0000-00000A000000}"/>
  </cellStyles>
  <dxfs count="5">
    <dxf>
      <font>
        <color rgb="FFFF0000"/>
      </font>
    </dxf>
    <dxf>
      <font>
        <color rgb="FFFF0000"/>
      </font>
    </dxf>
    <dxf>
      <font>
        <color rgb="FFFF0000"/>
      </font>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externalLink" Target="externalLinks/externalLink1.xml" /><Relationship Id="rId3" Type="http://schemas.openxmlformats.org/officeDocument/2006/relationships/worksheet" Target="worksheets/sheet3.xml" /><Relationship Id="rId21" Type="http://schemas.openxmlformats.org/officeDocument/2006/relationships/worksheet" Target="worksheets/sheet21.xml" /><Relationship Id="rId34" Type="http://schemas.openxmlformats.org/officeDocument/2006/relationships/sharedStrings" Target="sharedStrings.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styles" Target="styles.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externalLink" Target="externalLinks/externalLink4.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theme" Target="theme/theme1.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externalLink" Target="externalLinks/externalLink3.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externalLink" Target="externalLinks/externalLink6.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externalLink" Target="externalLinks/externalLink2.xml" /><Relationship Id="rId30" Type="http://schemas.openxmlformats.org/officeDocument/2006/relationships/externalLink" Target="externalLinks/externalLink5.xml" /><Relationship Id="rId35" Type="http://schemas.openxmlformats.org/officeDocument/2006/relationships/calcChain" Target="calcChain.xml" /></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ainpc/c/Documents%20and%20Settings/a.s.daga/My%20Documents/Charbhuja%20Trading%20&amp;%20Agencies%20Pvt%20Ltd/Project%20Report/Project%20Report/Copy%20of%20Project%20Report.xls" TargetMode="External" /></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pserver/my%20documents/A.S.Daga%20&amp;%20Co/Wadhwani%20Cold%20Storage%20&amp;%20Ice%20Plant%20(P)%20Ltd/NEW%20PLANT%20PROJECT/Project%20Report%20(Cold%20Storage)%20Revised.xls" TargetMode="External" /></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ikhil/Desktop/VISHVJEET/Vishwajeet/Vishvjeet/Vishu/Seed%20Processing/Pariwartan.xls" TargetMode="External" /></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PSERVER/My%20Documents/A.S.Daga%20&amp;%20Co/Dhanashrimata%20Agro%20Farm%20Pvt.%20%20Ltd/Project%20Report%20final.xls" TargetMode="External" /></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ikhil/Desktop/VISHVJEET/Chaskarji/Dharti%20FPC/Dharti%20FPC.xlsx" TargetMode="External" /></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VISHVJEET/Vishwajeet/S.M.A.R.T/MCDC/Jangalewadi_A.nagar/Jangalewadi%20PACs.xlsx"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lance"/>
      <sheetName val="Balance Sheet"/>
      <sheetName val="Profit"/>
      <sheetName val="IRR"/>
      <sheetName val="Cash Flow"/>
      <sheetName val="SALES"/>
      <sheetName val="Raw Mt. Cons"/>
      <sheetName val="Labour"/>
      <sheetName val="Power"/>
      <sheetName val="Cl Stock FG"/>
      <sheetName val="Stores"/>
      <sheetName val="Steam"/>
      <sheetName val="Chemicals"/>
      <sheetName val="Other Mfg Exp"/>
      <sheetName val="Repaira &amp; Maintainance"/>
      <sheetName val="Drums"/>
      <sheetName val="Clearing"/>
      <sheetName val="Interest "/>
      <sheetName val="Depriciation"/>
      <sheetName val="MPBF"/>
      <sheetName val="Ratios"/>
      <sheetName val="Turnover Ratio"/>
      <sheetName val="ISCR"/>
      <sheetName val="DSCR"/>
      <sheetName val="Debt Equity"/>
      <sheetName val="BEP"/>
      <sheetName val="Ratio Summary"/>
      <sheetName val="Graph 1"/>
      <sheetName val="Graph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Glance"/>
      <sheetName val="Balance Sheet"/>
      <sheetName val="Profit"/>
      <sheetName val="Cash Flow"/>
      <sheetName val="Sales"/>
      <sheetName val="Labour charges"/>
      <sheetName val="Admin Exp"/>
      <sheetName val="Salary Expenses"/>
      <sheetName val="Power"/>
      <sheetName val="Depriciation"/>
      <sheetName val="Interest TL"/>
      <sheetName val="ISCR"/>
      <sheetName val="DSCR"/>
      <sheetName val="MPBF"/>
      <sheetName val="BEP"/>
      <sheetName val="IRR"/>
      <sheetName val="Debt Equity"/>
      <sheetName val="Turnover Ratio"/>
      <sheetName val="Ratio Summary"/>
      <sheetName val="Graph 1"/>
      <sheetName val="Graph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Glance"/>
      <sheetName val="Balance Sheet"/>
      <sheetName val="Profit"/>
      <sheetName val="Exp"/>
      <sheetName val="Ratios"/>
      <sheetName val="Cash Flow"/>
      <sheetName val="Output-Breeder"/>
      <sheetName val="Output-Foundation"/>
      <sheetName val="Closing Stock R.M"/>
      <sheetName val="Closing Stock F.G"/>
      <sheetName val="Sales"/>
      <sheetName val="Purchases"/>
      <sheetName val="Interest "/>
      <sheetName val="Depreciation"/>
      <sheetName val="DSCR"/>
      <sheetName val="MPBF"/>
      <sheetName val="Debt Equity"/>
      <sheetName val="ISCR"/>
      <sheetName val="IRR"/>
      <sheetName val="Turnover Ratio"/>
      <sheetName val="BEP"/>
      <sheetName val="Ratio Summary"/>
      <sheetName val="Graph 1"/>
      <sheetName val="Graph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ery"/>
      <sheetName val="Glance"/>
      <sheetName val="Balance Sheet"/>
      <sheetName val="Profit"/>
      <sheetName val="Cash Flow"/>
      <sheetName val="Cost of Production"/>
      <sheetName val="Cl Stock"/>
      <sheetName val="Salary"/>
      <sheetName val="Other Indirect Expenses"/>
      <sheetName val="Interest "/>
      <sheetName val="Depriciation"/>
      <sheetName val="DSCR"/>
      <sheetName val="ISCR"/>
      <sheetName val="Ratios"/>
      <sheetName val="Debt Equity"/>
      <sheetName val="Ratio Summary"/>
      <sheetName val="IRR"/>
      <sheetName val="Turnover Ratio"/>
      <sheetName val="BEP"/>
      <sheetName val="Graph 1"/>
      <sheetName val="Graph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roject Cost"/>
      <sheetName val="Summary"/>
      <sheetName val="Revenue-Dairy Farm"/>
      <sheetName val="Revenue-Dairy Processing"/>
      <sheetName val="Assumptions"/>
      <sheetName val="wareshousing"/>
      <sheetName val="Benefit to farmer"/>
      <sheetName val="C&amp; G"/>
      <sheetName val="Custom Hiring"/>
      <sheetName val="Revenue-Warehouse"/>
      <sheetName val="Opex"/>
      <sheetName val="Depreciation"/>
      <sheetName val="Interest"/>
      <sheetName val="Working Capital Requirement"/>
      <sheetName val="Tax"/>
      <sheetName val="P&amp;L"/>
      <sheetName val="CF &amp; BS"/>
      <sheetName val="Ratios"/>
      <sheetName val="Sheet2"/>
      <sheetName val="Sentivity Analysis"/>
    </sheetNames>
    <sheetDataSet>
      <sheetData sheetId="0"/>
      <sheetData sheetId="1"/>
      <sheetData sheetId="2"/>
      <sheetData sheetId="3"/>
      <sheetData sheetId="4"/>
      <sheetData sheetId="5">
        <row r="17">
          <cell r="B17">
            <v>0.05</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 /></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0.bin" /><Relationship Id="rId1" Type="http://schemas.openxmlformats.org/officeDocument/2006/relationships/hyperlink" Target="https://www.investopedia.com/terms/d/discountrate.asp" TargetMode="External" /></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 /></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 /></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 /></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 /></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 /></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 /></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 /></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 /></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 /></Relationships>
</file>

<file path=xl/worksheets/_rels/sheet20.xml.rels><?xml version="1.0" encoding="UTF-8" standalone="yes"?>
<Relationships xmlns="http://schemas.openxmlformats.org/package/2006/relationships"><Relationship Id="rId1" Type="http://schemas.openxmlformats.org/officeDocument/2006/relationships/hyperlink" Target="https://www.investopedia.com/terms/d/discountrate.asp" TargetMode="External" /></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 /></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 /></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 /><Relationship Id="rId1" Type="http://schemas.openxmlformats.org/officeDocument/2006/relationships/hyperlink" Target="mailto:GST@%2018%25" TargetMode="External" /></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 /></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 /></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 /></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 /></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 /></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E37"/>
  <sheetViews>
    <sheetView topLeftCell="A8" workbookViewId="0">
      <selection activeCell="A16" sqref="A16"/>
    </sheetView>
  </sheetViews>
  <sheetFormatPr defaultColWidth="9.14453125" defaultRowHeight="15" x14ac:dyDescent="0.2"/>
  <cols>
    <col min="1" max="1" width="12.77734375" style="72" customWidth="1"/>
    <col min="2" max="2" width="55.9609375" style="72" customWidth="1"/>
    <col min="3" max="3" width="31.4765625" style="72" customWidth="1"/>
    <col min="4" max="4" width="26.5" style="72" customWidth="1"/>
    <col min="5" max="5" width="29.45703125" style="72" customWidth="1"/>
    <col min="6" max="9" width="9.14453125" style="72"/>
    <col min="10" max="12" width="11.296875" style="72" bestFit="1" customWidth="1"/>
    <col min="13" max="16384" width="9.14453125" style="72"/>
  </cols>
  <sheetData>
    <row r="2" spans="1:5" ht="26.25" customHeight="1" x14ac:dyDescent="0.2">
      <c r="A2" s="425" t="s">
        <v>633</v>
      </c>
      <c r="B2" s="425"/>
      <c r="C2" s="425"/>
      <c r="D2" s="425"/>
      <c r="E2" s="425"/>
    </row>
    <row r="3" spans="1:5" ht="26.25" customHeight="1" x14ac:dyDescent="0.2">
      <c r="A3" s="426" t="s">
        <v>629</v>
      </c>
      <c r="B3" s="426"/>
      <c r="C3" s="426"/>
      <c r="D3" s="426"/>
      <c r="E3" s="426"/>
    </row>
    <row r="4" spans="1:5" ht="23.25" customHeight="1" x14ac:dyDescent="0.2">
      <c r="A4" s="413" t="s">
        <v>600</v>
      </c>
      <c r="B4" s="413"/>
      <c r="C4" s="413"/>
      <c r="D4" s="413"/>
      <c r="E4" s="413"/>
    </row>
    <row r="5" spans="1:5" ht="240.75" customHeight="1" x14ac:dyDescent="0.2">
      <c r="A5" s="421" t="s">
        <v>634</v>
      </c>
      <c r="B5" s="421"/>
      <c r="C5" s="421"/>
      <c r="D5" s="421"/>
      <c r="E5" s="421"/>
    </row>
    <row r="6" spans="1:5" ht="23.25" customHeight="1" x14ac:dyDescent="0.2">
      <c r="A6" s="413" t="s">
        <v>601</v>
      </c>
      <c r="B6" s="413"/>
      <c r="C6" s="413"/>
      <c r="D6" s="413"/>
      <c r="E6" s="413"/>
    </row>
    <row r="7" spans="1:5" ht="108" customHeight="1" x14ac:dyDescent="0.2">
      <c r="A7" s="417" t="s">
        <v>669</v>
      </c>
      <c r="B7" s="418"/>
      <c r="C7" s="418"/>
      <c r="D7" s="418"/>
      <c r="E7" s="419"/>
    </row>
    <row r="8" spans="1:5" ht="23.25" customHeight="1" x14ac:dyDescent="0.2">
      <c r="A8" s="420" t="s">
        <v>635</v>
      </c>
      <c r="B8" s="420"/>
      <c r="C8" s="420"/>
      <c r="D8" s="420"/>
      <c r="E8" s="420"/>
    </row>
    <row r="9" spans="1:5" ht="105.75" customHeight="1" x14ac:dyDescent="0.2">
      <c r="A9" s="421" t="s">
        <v>673</v>
      </c>
      <c r="B9" s="421"/>
      <c r="C9" s="421"/>
      <c r="D9" s="421"/>
      <c r="E9" s="421"/>
    </row>
    <row r="10" spans="1:5" ht="23.25" x14ac:dyDescent="0.2">
      <c r="A10" s="413" t="s">
        <v>627</v>
      </c>
      <c r="B10" s="413"/>
      <c r="C10" s="413"/>
      <c r="D10" s="413"/>
      <c r="E10" s="413"/>
    </row>
    <row r="11" spans="1:5" x14ac:dyDescent="0.2">
      <c r="A11" s="72" t="s">
        <v>625</v>
      </c>
      <c r="B11" s="72" t="s">
        <v>150</v>
      </c>
    </row>
    <row r="12" spans="1:5" ht="20.25" customHeight="1" x14ac:dyDescent="0.2">
      <c r="A12" s="76"/>
      <c r="B12" s="422" t="s">
        <v>392</v>
      </c>
      <c r="C12" s="423"/>
      <c r="D12" s="423"/>
      <c r="E12" s="424"/>
    </row>
    <row r="13" spans="1:5" x14ac:dyDescent="0.2">
      <c r="A13" s="77"/>
      <c r="B13" s="410" t="s">
        <v>393</v>
      </c>
      <c r="C13" s="410"/>
      <c r="D13" s="410"/>
      <c r="E13" s="410"/>
    </row>
    <row r="14" spans="1:5" x14ac:dyDescent="0.2">
      <c r="A14" s="411"/>
      <c r="B14" s="411"/>
      <c r="C14" s="411"/>
      <c r="D14" s="411"/>
      <c r="E14" s="412"/>
    </row>
    <row r="15" spans="1:5" ht="23.25" x14ac:dyDescent="0.2">
      <c r="A15" s="413" t="s">
        <v>628</v>
      </c>
      <c r="B15" s="413"/>
      <c r="C15" s="413"/>
      <c r="D15" s="413"/>
      <c r="E15" s="413"/>
    </row>
    <row r="16" spans="1:5" x14ac:dyDescent="0.2">
      <c r="A16" s="73" t="s">
        <v>602</v>
      </c>
      <c r="B16" s="73" t="s">
        <v>636</v>
      </c>
      <c r="C16" s="73" t="s">
        <v>442</v>
      </c>
      <c r="D16" s="73" t="s">
        <v>603</v>
      </c>
      <c r="E16" s="73" t="s">
        <v>604</v>
      </c>
    </row>
    <row r="17" spans="1:5" x14ac:dyDescent="0.2">
      <c r="A17" s="78" t="s">
        <v>172</v>
      </c>
      <c r="B17" s="78" t="s">
        <v>637</v>
      </c>
      <c r="C17" s="78"/>
      <c r="D17" s="78"/>
      <c r="E17" s="78"/>
    </row>
    <row r="18" spans="1:5" ht="41.25" x14ac:dyDescent="0.2">
      <c r="A18" s="79" t="s">
        <v>605</v>
      </c>
      <c r="B18" s="74" t="s">
        <v>606</v>
      </c>
      <c r="C18" s="74" t="s">
        <v>670</v>
      </c>
      <c r="D18" s="74" t="s">
        <v>638</v>
      </c>
      <c r="E18" s="74"/>
    </row>
    <row r="19" spans="1:5" ht="54.75" x14ac:dyDescent="0.2">
      <c r="A19" s="79" t="s">
        <v>607</v>
      </c>
      <c r="B19" s="74" t="s">
        <v>608</v>
      </c>
      <c r="C19" s="74" t="s">
        <v>671</v>
      </c>
      <c r="D19" s="74" t="s">
        <v>639</v>
      </c>
      <c r="E19" s="74"/>
    </row>
    <row r="20" spans="1:5" ht="36" customHeight="1" x14ac:dyDescent="0.2">
      <c r="A20" s="79" t="s">
        <v>609</v>
      </c>
      <c r="B20" s="75" t="s">
        <v>630</v>
      </c>
      <c r="C20" s="74" t="s">
        <v>640</v>
      </c>
      <c r="D20" s="74" t="s">
        <v>641</v>
      </c>
      <c r="E20" s="74" t="s">
        <v>631</v>
      </c>
    </row>
    <row r="21" spans="1:5" x14ac:dyDescent="0.2">
      <c r="A21" s="79" t="s">
        <v>611</v>
      </c>
      <c r="B21" s="74" t="s">
        <v>672</v>
      </c>
      <c r="C21" s="74"/>
      <c r="D21" s="74"/>
      <c r="E21" s="74"/>
    </row>
    <row r="22" spans="1:5" x14ac:dyDescent="0.2">
      <c r="A22" s="74">
        <v>4.0999999999999996</v>
      </c>
      <c r="B22" s="74" t="s">
        <v>612</v>
      </c>
      <c r="C22" s="414" t="s">
        <v>642</v>
      </c>
      <c r="D22" s="74" t="s">
        <v>643</v>
      </c>
      <c r="E22" s="74"/>
    </row>
    <row r="23" spans="1:5" x14ac:dyDescent="0.2">
      <c r="A23" s="74">
        <v>4.2</v>
      </c>
      <c r="B23" s="74" t="s">
        <v>613</v>
      </c>
      <c r="C23" s="415"/>
      <c r="D23" s="74" t="s">
        <v>644</v>
      </c>
      <c r="E23" s="74"/>
    </row>
    <row r="24" spans="1:5" x14ac:dyDescent="0.2">
      <c r="A24" s="74">
        <v>4.3</v>
      </c>
      <c r="B24" s="74" t="s">
        <v>614</v>
      </c>
      <c r="C24" s="415"/>
      <c r="D24" s="74" t="s">
        <v>645</v>
      </c>
      <c r="E24" s="74"/>
    </row>
    <row r="25" spans="1:5" x14ac:dyDescent="0.2">
      <c r="A25" s="74">
        <v>4.4000000000000004</v>
      </c>
      <c r="B25" s="74" t="s">
        <v>615</v>
      </c>
      <c r="C25" s="415"/>
      <c r="D25" s="74" t="s">
        <v>646</v>
      </c>
      <c r="E25" s="74"/>
    </row>
    <row r="26" spans="1:5" x14ac:dyDescent="0.2">
      <c r="A26" s="74">
        <v>4.5</v>
      </c>
      <c r="B26" s="74" t="s">
        <v>616</v>
      </c>
      <c r="C26" s="415"/>
      <c r="D26" s="74" t="s">
        <v>647</v>
      </c>
      <c r="E26" s="74"/>
    </row>
    <row r="27" spans="1:5" x14ac:dyDescent="0.2">
      <c r="A27" s="74">
        <v>4.5999999999999996</v>
      </c>
      <c r="B27" s="74" t="s">
        <v>617</v>
      </c>
      <c r="C27" s="416"/>
      <c r="D27" s="74" t="s">
        <v>648</v>
      </c>
      <c r="E27" s="74"/>
    </row>
    <row r="28" spans="1:5" ht="27.75" x14ac:dyDescent="0.2">
      <c r="A28" s="79" t="s">
        <v>618</v>
      </c>
      <c r="B28" s="74" t="s">
        <v>610</v>
      </c>
      <c r="C28" s="74" t="s">
        <v>649</v>
      </c>
      <c r="D28" s="74" t="s">
        <v>674</v>
      </c>
      <c r="E28" s="74"/>
    </row>
    <row r="29" spans="1:5" ht="41.25" x14ac:dyDescent="0.2">
      <c r="A29" s="79" t="s">
        <v>619</v>
      </c>
      <c r="B29" s="74" t="s">
        <v>650</v>
      </c>
      <c r="C29" s="74" t="s">
        <v>651</v>
      </c>
      <c r="D29" s="74" t="s">
        <v>652</v>
      </c>
      <c r="E29" s="74"/>
    </row>
    <row r="30" spans="1:5" ht="27.75" x14ac:dyDescent="0.2">
      <c r="A30" s="79" t="s">
        <v>626</v>
      </c>
      <c r="B30" s="74" t="s">
        <v>620</v>
      </c>
      <c r="C30" s="74" t="s">
        <v>653</v>
      </c>
      <c r="D30" s="74" t="s">
        <v>654</v>
      </c>
      <c r="E30" s="74"/>
    </row>
    <row r="31" spans="1:5" x14ac:dyDescent="0.2">
      <c r="A31" s="78" t="s">
        <v>173</v>
      </c>
      <c r="B31" s="80" t="s">
        <v>655</v>
      </c>
      <c r="C31" s="78"/>
      <c r="D31" s="78"/>
      <c r="E31" s="78"/>
    </row>
    <row r="32" spans="1:5" ht="26.25" customHeight="1" x14ac:dyDescent="0.2">
      <c r="A32" s="81" t="s">
        <v>656</v>
      </c>
      <c r="B32" s="74" t="s">
        <v>621</v>
      </c>
      <c r="C32" s="74"/>
      <c r="D32" s="74" t="s">
        <v>657</v>
      </c>
      <c r="E32" s="74" t="s">
        <v>631</v>
      </c>
    </row>
    <row r="33" spans="1:5" x14ac:dyDescent="0.2">
      <c r="A33" s="81" t="s">
        <v>658</v>
      </c>
      <c r="B33" s="74" t="s">
        <v>622</v>
      </c>
      <c r="C33" s="74"/>
      <c r="D33" s="74" t="s">
        <v>659</v>
      </c>
      <c r="E33" s="74" t="s">
        <v>631</v>
      </c>
    </row>
    <row r="34" spans="1:5" x14ac:dyDescent="0.2">
      <c r="A34" s="81" t="s">
        <v>660</v>
      </c>
      <c r="B34" s="74" t="s">
        <v>623</v>
      </c>
      <c r="C34" s="74"/>
      <c r="D34" s="74" t="s">
        <v>661</v>
      </c>
      <c r="E34" s="74" t="s">
        <v>631</v>
      </c>
    </row>
    <row r="35" spans="1:5" ht="35.25" customHeight="1" x14ac:dyDescent="0.2">
      <c r="A35" s="81" t="s">
        <v>662</v>
      </c>
      <c r="B35" s="74" t="s">
        <v>624</v>
      </c>
      <c r="C35" s="74"/>
      <c r="D35" s="74" t="s">
        <v>663</v>
      </c>
      <c r="E35" s="74" t="s">
        <v>631</v>
      </c>
    </row>
    <row r="36" spans="1:5" ht="35.25" customHeight="1" x14ac:dyDescent="0.2">
      <c r="A36" s="81" t="s">
        <v>664</v>
      </c>
      <c r="B36" s="74" t="s">
        <v>665</v>
      </c>
      <c r="C36" s="74"/>
      <c r="D36" s="74" t="s">
        <v>666</v>
      </c>
      <c r="E36" s="74" t="s">
        <v>631</v>
      </c>
    </row>
    <row r="37" spans="1:5" x14ac:dyDescent="0.2">
      <c r="A37" s="79" t="s">
        <v>667</v>
      </c>
      <c r="B37" s="74" t="s">
        <v>668</v>
      </c>
      <c r="C37" s="74"/>
      <c r="D37" s="74"/>
      <c r="E37" s="74"/>
    </row>
  </sheetData>
  <mergeCells count="14">
    <mergeCell ref="A6:E6"/>
    <mergeCell ref="A2:E2"/>
    <mergeCell ref="A3:E3"/>
    <mergeCell ref="A4:E4"/>
    <mergeCell ref="A5:E5"/>
    <mergeCell ref="B13:E13"/>
    <mergeCell ref="A14:E14"/>
    <mergeCell ref="A15:E15"/>
    <mergeCell ref="C22:C27"/>
    <mergeCell ref="A7:E7"/>
    <mergeCell ref="A8:E8"/>
    <mergeCell ref="A9:E9"/>
    <mergeCell ref="A10:E10"/>
    <mergeCell ref="B12:E1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J45"/>
  <sheetViews>
    <sheetView view="pageBreakPreview" topLeftCell="A21" zoomScale="80" zoomScaleSheetLayoutView="80" workbookViewId="0">
      <selection activeCell="A4" sqref="A4:I37"/>
    </sheetView>
  </sheetViews>
  <sheetFormatPr defaultColWidth="8.7421875" defaultRowHeight="15" x14ac:dyDescent="0.2"/>
  <cols>
    <col min="1" max="1" width="3.49609375" style="92" bestFit="1" customWidth="1"/>
    <col min="2" max="2" width="35.78125" style="92" bestFit="1" customWidth="1"/>
    <col min="3" max="3" width="15.6015625" style="92" customWidth="1"/>
    <col min="4" max="4" width="15.73828125" style="92" customWidth="1"/>
    <col min="5" max="5" width="14.52734375" style="92" customWidth="1"/>
    <col min="6" max="6" width="14.66015625" style="92" customWidth="1"/>
    <col min="7" max="7" width="18.83203125" style="92" customWidth="1"/>
    <col min="8" max="9" width="14.796875" style="92" bestFit="1" customWidth="1"/>
    <col min="10" max="16384" width="8.7421875" style="92"/>
  </cols>
  <sheetData>
    <row r="1" spans="1:10" x14ac:dyDescent="0.2">
      <c r="A1" s="438"/>
      <c r="B1" s="438"/>
      <c r="C1" s="438"/>
      <c r="D1" s="438"/>
      <c r="E1" s="438"/>
      <c r="F1" s="438"/>
      <c r="G1" s="438"/>
    </row>
    <row r="2" spans="1:10" ht="18.75" x14ac:dyDescent="0.25">
      <c r="A2" s="427" t="s">
        <v>555</v>
      </c>
      <c r="B2" s="427"/>
      <c r="C2" s="427"/>
      <c r="D2" s="427"/>
      <c r="E2" s="427"/>
      <c r="F2" s="427"/>
      <c r="G2" s="427"/>
      <c r="H2" s="427"/>
      <c r="I2" s="427"/>
      <c r="J2" s="151"/>
    </row>
    <row r="4" spans="1:10" x14ac:dyDescent="0.2">
      <c r="A4" s="309" t="s">
        <v>227</v>
      </c>
      <c r="B4" s="309" t="s">
        <v>0</v>
      </c>
      <c r="C4" s="155" t="s">
        <v>2</v>
      </c>
      <c r="D4" s="155" t="s">
        <v>3</v>
      </c>
      <c r="E4" s="155" t="s">
        <v>4</v>
      </c>
      <c r="F4" s="155" t="s">
        <v>5</v>
      </c>
      <c r="G4" s="155" t="s">
        <v>6</v>
      </c>
      <c r="H4" s="155" t="s">
        <v>168</v>
      </c>
      <c r="I4" s="155" t="s">
        <v>167</v>
      </c>
    </row>
    <row r="5" spans="1:10" x14ac:dyDescent="0.2">
      <c r="A5" s="310">
        <v>1</v>
      </c>
      <c r="B5" s="310" t="s">
        <v>357</v>
      </c>
      <c r="C5" s="311"/>
      <c r="D5" s="311"/>
      <c r="E5" s="311"/>
      <c r="F5" s="311"/>
      <c r="G5" s="311"/>
      <c r="H5" s="311"/>
      <c r="I5" s="311"/>
    </row>
    <row r="6" spans="1:10" x14ac:dyDescent="0.2">
      <c r="A6" s="310"/>
      <c r="B6" s="312" t="s">
        <v>357</v>
      </c>
      <c r="C6" s="311">
        <f>'6.Cons Profit &amp; Loss'!B15</f>
        <v>41542200</v>
      </c>
      <c r="D6" s="311">
        <f>'6.Cons Profit &amp; Loss'!C15</f>
        <v>48871431</v>
      </c>
      <c r="E6" s="311">
        <f>'6.Cons Profit &amp; Loss'!D15</f>
        <v>55988500.050000012</v>
      </c>
      <c r="F6" s="311">
        <f>'6.Cons Profit &amp; Loss'!E15</f>
        <v>63695097.427500024</v>
      </c>
      <c r="G6" s="311">
        <f>'6.Cons Profit &amp; Loss'!F15</f>
        <v>72032383.292625025</v>
      </c>
      <c r="H6" s="311">
        <f>'6.Cons Profit &amp; Loss'!G15</f>
        <v>81044160.000693798</v>
      </c>
      <c r="I6" s="311">
        <f>'6.Cons Profit &amp; Loss'!H15</f>
        <v>90777033.421337873</v>
      </c>
    </row>
    <row r="7" spans="1:10" x14ac:dyDescent="0.2">
      <c r="A7" s="310">
        <v>2</v>
      </c>
      <c r="B7" s="310" t="s">
        <v>228</v>
      </c>
      <c r="C7" s="311">
        <f>'1.Project Cost and MOF'!E21</f>
        <v>3849844.3938941099</v>
      </c>
      <c r="D7" s="311"/>
      <c r="E7" s="311"/>
      <c r="F7" s="311"/>
      <c r="G7" s="311"/>
      <c r="H7" s="311"/>
      <c r="I7" s="311"/>
    </row>
    <row r="8" spans="1:10" x14ac:dyDescent="0.2">
      <c r="A8" s="310"/>
      <c r="B8" s="310" t="s">
        <v>289</v>
      </c>
      <c r="C8" s="311"/>
      <c r="D8" s="311"/>
      <c r="E8" s="311"/>
      <c r="F8" s="311"/>
      <c r="G8" s="311"/>
      <c r="H8" s="311"/>
      <c r="I8" s="311"/>
    </row>
    <row r="9" spans="1:10" x14ac:dyDescent="0.2">
      <c r="A9" s="310">
        <v>3</v>
      </c>
      <c r="B9" s="310" t="s">
        <v>229</v>
      </c>
      <c r="C9" s="311">
        <f>'1.Project Cost and MOF'!E19</f>
        <v>17935759.693440001</v>
      </c>
      <c r="D9" s="311"/>
      <c r="E9" s="311"/>
      <c r="F9" s="311"/>
      <c r="G9" s="311"/>
      <c r="H9" s="311"/>
      <c r="I9" s="311"/>
    </row>
    <row r="10" spans="1:10" x14ac:dyDescent="0.2">
      <c r="A10" s="310">
        <v>4</v>
      </c>
      <c r="B10" s="310" t="s">
        <v>230</v>
      </c>
      <c r="C10" s="311">
        <f>'1.Project Cost and MOF'!E20</f>
        <v>8967879.8467199989</v>
      </c>
      <c r="D10" s="311"/>
      <c r="E10" s="311"/>
      <c r="F10" s="311"/>
      <c r="G10" s="311"/>
      <c r="H10" s="311"/>
      <c r="I10" s="311"/>
    </row>
    <row r="11" spans="1:10" x14ac:dyDescent="0.2">
      <c r="A11" s="310">
        <v>5</v>
      </c>
      <c r="B11" s="310" t="s">
        <v>683</v>
      </c>
      <c r="C11" s="311">
        <f>'7.Balance Sheet'!B24</f>
        <v>2581653.3349623289</v>
      </c>
      <c r="D11" s="311">
        <f>'7.Balance Sheet'!C24-'7.Balance Sheet'!B24</f>
        <v>1467208.6116287671</v>
      </c>
      <c r="E11" s="311">
        <f>'7.Balance Sheet'!D24-'7.Balance Sheet'!C24</f>
        <v>589575.58406106289</v>
      </c>
      <c r="F11" s="311">
        <f>'7.Balance Sheet'!E24-'7.Balance Sheet'!D24</f>
        <v>638410.98760069162</v>
      </c>
      <c r="G11" s="311">
        <f>'7.Balance Sheet'!F24-'7.Balance Sheet'!E24</f>
        <v>690655.99253412709</v>
      </c>
      <c r="H11" s="311">
        <f>'7.Balance Sheet'!G24-'7.Balance Sheet'!F24</f>
        <v>746529.47049191222</v>
      </c>
      <c r="I11" s="311">
        <f>'7.Balance Sheet'!H24-'7.Balance Sheet'!G24</f>
        <v>806263.65626413375</v>
      </c>
    </row>
    <row r="12" spans="1:10" x14ac:dyDescent="0.2">
      <c r="A12" s="310">
        <v>6</v>
      </c>
      <c r="B12" s="310" t="s">
        <v>680</v>
      </c>
      <c r="C12" s="311">
        <f>'7.Balance Sheet'!B25</f>
        <v>648131.15164383559</v>
      </c>
      <c r="D12" s="311">
        <f>'7.Balance Sheet'!C25-'7.Balance Sheet'!B25</f>
        <v>99282.214020547923</v>
      </c>
      <c r="E12" s="311">
        <f>'7.Balance Sheet'!D25-'7.Balance Sheet'!C25</f>
        <v>107590.1075434935</v>
      </c>
      <c r="F12" s="311">
        <f>'7.Balance Sheet'!E25-'7.Balance Sheet'!D25</f>
        <v>116480.5848836815</v>
      </c>
      <c r="G12" s="311">
        <f>'7.Balance Sheet'!F25-'7.Balance Sheet'!E25</f>
        <v>125991.13468903047</v>
      </c>
      <c r="H12" s="311">
        <f>'7.Balance Sheet'!G25-'7.Balance Sheet'!F25</f>
        <v>136161.53801270388</v>
      </c>
      <c r="I12" s="311">
        <f>'7.Balance Sheet'!H25-'7.Balance Sheet'!G25</f>
        <v>147034.00383202336</v>
      </c>
    </row>
    <row r="13" spans="1:10" x14ac:dyDescent="0.2">
      <c r="A13" s="310"/>
      <c r="B13" s="310" t="s">
        <v>231</v>
      </c>
      <c r="C13" s="313">
        <f>C6+C7+C9+C10+C11+C12</f>
        <v>75525468.420660272</v>
      </c>
      <c r="D13" s="313">
        <f t="shared" ref="D13:I13" si="0">SUM(D6:D12)</f>
        <v>50437921.825649321</v>
      </c>
      <c r="E13" s="313">
        <f t="shared" si="0"/>
        <v>56685665.741604567</v>
      </c>
      <c r="F13" s="313">
        <f t="shared" si="0"/>
        <v>64449988.999984398</v>
      </c>
      <c r="G13" s="313">
        <f t="shared" si="0"/>
        <v>72849030.419848189</v>
      </c>
      <c r="H13" s="313">
        <f t="shared" si="0"/>
        <v>81926851.009198412</v>
      </c>
      <c r="I13" s="313">
        <f t="shared" si="0"/>
        <v>91730331.081434026</v>
      </c>
    </row>
    <row r="14" spans="1:10" x14ac:dyDescent="0.2">
      <c r="A14" s="463" t="s">
        <v>232</v>
      </c>
      <c r="B14" s="463"/>
      <c r="C14" s="314"/>
      <c r="D14" s="314"/>
      <c r="E14" s="314"/>
      <c r="F14" s="314"/>
      <c r="G14" s="314"/>
      <c r="H14" s="314"/>
      <c r="I14" s="314"/>
    </row>
    <row r="15" spans="1:10" x14ac:dyDescent="0.2">
      <c r="A15" s="310">
        <v>1</v>
      </c>
      <c r="B15" s="310" t="s">
        <v>233</v>
      </c>
      <c r="C15" s="314"/>
      <c r="D15" s="314"/>
      <c r="E15" s="314"/>
      <c r="F15" s="314"/>
      <c r="G15" s="314"/>
      <c r="H15" s="314"/>
      <c r="I15" s="314"/>
    </row>
    <row r="16" spans="1:10" x14ac:dyDescent="0.2">
      <c r="A16" s="315" t="s">
        <v>234</v>
      </c>
      <c r="B16" s="314" t="str">
        <f>'[5]Total Cost of Project'!C3</f>
        <v>Land and Building</v>
      </c>
      <c r="C16" s="316">
        <f>'1.Project Cost and MOF'!D5</f>
        <v>17000795.82</v>
      </c>
      <c r="D16" s="316"/>
      <c r="E16" s="316"/>
      <c r="F16" s="316"/>
      <c r="G16" s="316"/>
      <c r="H16" s="316"/>
      <c r="I16" s="316"/>
    </row>
    <row r="17" spans="1:9" x14ac:dyDescent="0.2">
      <c r="A17" s="315" t="s">
        <v>235</v>
      </c>
      <c r="B17" s="317" t="str">
        <f>'[5]Total Cost of Project'!C4</f>
        <v>Machinery and Equipment</v>
      </c>
      <c r="C17" s="316">
        <f>'1.Project Cost and MOF'!D6</f>
        <v>11701001</v>
      </c>
      <c r="D17" s="316"/>
      <c r="E17" s="316"/>
      <c r="F17" s="316"/>
      <c r="G17" s="316"/>
      <c r="H17" s="316"/>
      <c r="I17" s="316"/>
    </row>
    <row r="18" spans="1:9" x14ac:dyDescent="0.2">
      <c r="A18" s="315" t="s">
        <v>272</v>
      </c>
      <c r="B18" s="317" t="s">
        <v>323</v>
      </c>
      <c r="C18" s="316">
        <f>'1.Project Cost and MOF'!D7</f>
        <v>257240</v>
      </c>
      <c r="D18" s="316"/>
      <c r="E18" s="316"/>
      <c r="F18" s="316"/>
      <c r="G18" s="316"/>
      <c r="H18" s="316"/>
      <c r="I18" s="316"/>
    </row>
    <row r="19" spans="1:9" x14ac:dyDescent="0.2">
      <c r="A19" s="315" t="s">
        <v>274</v>
      </c>
      <c r="B19" s="317" t="s">
        <v>325</v>
      </c>
      <c r="C19" s="316">
        <f>'1.Project Cost and MOF'!D8</f>
        <v>522346.00240000006</v>
      </c>
      <c r="D19" s="316"/>
      <c r="E19" s="316"/>
      <c r="F19" s="316"/>
      <c r="G19" s="316"/>
      <c r="H19" s="316"/>
      <c r="I19" s="316"/>
    </row>
    <row r="20" spans="1:9" x14ac:dyDescent="0.2">
      <c r="A20" s="315" t="s">
        <v>326</v>
      </c>
      <c r="B20" s="317" t="s">
        <v>273</v>
      </c>
      <c r="C20" s="316">
        <f>'1.Project Cost and MOF'!D9</f>
        <v>0</v>
      </c>
      <c r="D20" s="311"/>
      <c r="E20" s="311"/>
      <c r="F20" s="311"/>
      <c r="G20" s="311"/>
      <c r="H20" s="311"/>
      <c r="I20" s="311"/>
    </row>
    <row r="21" spans="1:9" x14ac:dyDescent="0.2">
      <c r="A21" s="315" t="s">
        <v>327</v>
      </c>
      <c r="B21" s="317" t="s">
        <v>275</v>
      </c>
      <c r="C21" s="316">
        <f>'1.Project Cost and MOF'!D10</f>
        <v>411550</v>
      </c>
      <c r="D21" s="311"/>
      <c r="E21" s="311"/>
      <c r="F21" s="311"/>
      <c r="G21" s="311"/>
      <c r="H21" s="311"/>
      <c r="I21" s="311"/>
    </row>
    <row r="22" spans="1:9" x14ac:dyDescent="0.2">
      <c r="A22" s="310">
        <v>2</v>
      </c>
      <c r="B22" s="310" t="s">
        <v>236</v>
      </c>
      <c r="C22" s="314"/>
      <c r="D22" s="314"/>
      <c r="E22" s="314"/>
      <c r="F22" s="314"/>
      <c r="G22" s="314"/>
      <c r="H22" s="314"/>
      <c r="I22" s="314"/>
    </row>
    <row r="23" spans="1:9" x14ac:dyDescent="0.2">
      <c r="A23" s="315" t="s">
        <v>234</v>
      </c>
      <c r="B23" s="314" t="s">
        <v>306</v>
      </c>
      <c r="C23" s="318">
        <f>'6.Cons Profit &amp; Loss'!B25</f>
        <v>33119501.848999996</v>
      </c>
      <c r="D23" s="318">
        <f>'6.Cons Profit &amp; Loss'!C25</f>
        <v>38868731.186449997</v>
      </c>
      <c r="E23" s="318">
        <f>'6.Cons Profit &amp; Loss'!D25</f>
        <v>44470122.847972512</v>
      </c>
      <c r="F23" s="318">
        <f>'6.Cons Profit &amp; Loss'!E25</f>
        <v>50534481.847681142</v>
      </c>
      <c r="G23" s="318">
        <f>'6.Cons Profit &amp; Loss'!F25</f>
        <v>57094101.440240718</v>
      </c>
      <c r="H23" s="318">
        <f>'6.Cons Profit &amp; Loss'!G25</f>
        <v>64183346.787437022</v>
      </c>
      <c r="I23" s="318">
        <f>'6.Cons Profit &amp; Loss'!H25</f>
        <v>71838781.415752381</v>
      </c>
    </row>
    <row r="24" spans="1:9" x14ac:dyDescent="0.2">
      <c r="A24" s="315" t="s">
        <v>235</v>
      </c>
      <c r="B24" s="314" t="s">
        <v>305</v>
      </c>
      <c r="C24" s="311">
        <f>'6.Cons Profit &amp; Loss'!B36</f>
        <v>3304000</v>
      </c>
      <c r="D24" s="311">
        <f>'6.Cons Profit &amp; Loss'!C36</f>
        <v>3469200</v>
      </c>
      <c r="E24" s="311">
        <f>'6.Cons Profit &amp; Loss'!D36</f>
        <v>3642660</v>
      </c>
      <c r="F24" s="311">
        <f>'6.Cons Profit &amp; Loss'!E36</f>
        <v>3824793.0000000005</v>
      </c>
      <c r="G24" s="311">
        <f>'6.Cons Profit &amp; Loss'!F36</f>
        <v>4016032.6500000004</v>
      </c>
      <c r="H24" s="311">
        <f>'6.Cons Profit &amp; Loss'!G36</f>
        <v>4216834.2825000016</v>
      </c>
      <c r="I24" s="311">
        <f>'6.Cons Profit &amp; Loss'!H36</f>
        <v>4427675.9966250015</v>
      </c>
    </row>
    <row r="25" spans="1:9" x14ac:dyDescent="0.2">
      <c r="A25" s="319">
        <v>3</v>
      </c>
      <c r="B25" s="310" t="s">
        <v>503</v>
      </c>
      <c r="C25" s="311"/>
      <c r="D25" s="311"/>
      <c r="E25" s="311"/>
      <c r="F25" s="311"/>
      <c r="G25" s="311"/>
      <c r="H25" s="311"/>
      <c r="I25" s="311"/>
    </row>
    <row r="26" spans="1:9" x14ac:dyDescent="0.2">
      <c r="A26" s="315"/>
      <c r="B26" s="314" t="s">
        <v>237</v>
      </c>
      <c r="C26" s="311">
        <f>SUM('4.TL repayment sch'!E10:E21)</f>
        <v>775509.13705927797</v>
      </c>
      <c r="D26" s="311">
        <f>SUM('4.TL repayment sch'!E22:E33)</f>
        <v>1697081.6826980549</v>
      </c>
      <c r="E26" s="311">
        <f>SUM('4.TL repayment sch'!E34:E45)</f>
        <v>1912314.1182426494</v>
      </c>
      <c r="F26" s="311">
        <f>SUM('4.TL repayment sch'!E46:E57)</f>
        <v>2154843.413910565</v>
      </c>
      <c r="G26" s="311">
        <f>SUM('4.TL repayment sch'!E58:E69)</f>
        <v>2428131.4948094483</v>
      </c>
      <c r="H26" s="311">
        <f>SUM('4.TL repayment sch'!E70:E81)</f>
        <v>-5.2413537279760048E-10</v>
      </c>
      <c r="I26" s="311">
        <f>SUM('4.TL repayment sch'!E82:E93)</f>
        <v>-5.9060885724588734E-10</v>
      </c>
    </row>
    <row r="27" spans="1:9" x14ac:dyDescent="0.2">
      <c r="A27" s="315"/>
      <c r="B27" s="314" t="s">
        <v>238</v>
      </c>
      <c r="C27" s="311">
        <f>SUM('4.TL repayment sch'!D10:D21)</f>
        <v>1056982.9061372261</v>
      </c>
      <c r="D27" s="311">
        <f>SUM('4.TL repayment sch'!D22:D33)</f>
        <v>891756.82208855322</v>
      </c>
      <c r="E27" s="311">
        <f>SUM('4.TL repayment sch'!D34:D45)</f>
        <v>676524.38654395868</v>
      </c>
      <c r="F27" s="311">
        <f>SUM('4.TL repayment sch'!D46:D57)</f>
        <v>433995.09087604366</v>
      </c>
      <c r="G27" s="311">
        <f>SUM('4.TL repayment sch'!D58:D69)</f>
        <v>160707.00997715982</v>
      </c>
      <c r="H27" s="311">
        <f>SUM('4.TL repayment sch'!D70:D81)</f>
        <v>5.2413537279760048E-10</v>
      </c>
      <c r="I27" s="311">
        <f>SUM('4.TL repayment sch'!D82:D93)</f>
        <v>5.9060885724588734E-10</v>
      </c>
    </row>
    <row r="28" spans="1:9" x14ac:dyDescent="0.2">
      <c r="A28" s="315"/>
      <c r="B28" s="314" t="s">
        <v>239</v>
      </c>
      <c r="C28" s="311"/>
      <c r="D28" s="311"/>
      <c r="E28" s="311"/>
      <c r="F28" s="311"/>
      <c r="G28" s="311"/>
      <c r="H28" s="311"/>
      <c r="I28" s="311"/>
    </row>
    <row r="29" spans="1:9" x14ac:dyDescent="0.2">
      <c r="A29" s="315"/>
      <c r="B29" s="314" t="s">
        <v>240</v>
      </c>
      <c r="C29" s="320">
        <f>'7.Balance Sheet'!B24*12%</f>
        <v>309798.40019547945</v>
      </c>
      <c r="D29" s="320">
        <f>'7.Balance Sheet'!C24*12%</f>
        <v>485863.43359093153</v>
      </c>
      <c r="E29" s="320">
        <f>'7.Balance Sheet'!D24*12%</f>
        <v>556612.50367825909</v>
      </c>
      <c r="F29" s="320">
        <f>'7.Balance Sheet'!E24*12%</f>
        <v>633221.82219034201</v>
      </c>
      <c r="G29" s="320">
        <f>'7.Balance Sheet'!F24*12%</f>
        <v>716100.54129443725</v>
      </c>
      <c r="H29" s="320">
        <f>'7.Balance Sheet'!G24*12%</f>
        <v>805684.07775346679</v>
      </c>
      <c r="I29" s="320">
        <f>'7.Balance Sheet'!H24*12%</f>
        <v>902435.71650516277</v>
      </c>
    </row>
    <row r="30" spans="1:9" x14ac:dyDescent="0.2">
      <c r="A30" s="310">
        <v>4</v>
      </c>
      <c r="B30" s="310" t="s">
        <v>241</v>
      </c>
      <c r="C30" s="311" t="str">
        <f>'6.Cons Profit &amp; Loss'!B50</f>
        <v>0</v>
      </c>
      <c r="D30" s="311">
        <f>'6.Cons Profit &amp; Loss'!C50</f>
        <v>489533.29820247344</v>
      </c>
      <c r="E30" s="311">
        <f>'6.Cons Profit &amp; Loss'!D50</f>
        <v>992954.45669281739</v>
      </c>
      <c r="F30" s="311">
        <f>'6.Cons Profit &amp; Loss'!E50</f>
        <v>1509344.8694995805</v>
      </c>
      <c r="G30" s="311">
        <f>'6.Cons Profit &amp; Loss'!F50</f>
        <v>2050764.0806145109</v>
      </c>
      <c r="H30" s="311">
        <f>'6.Cons Profit &amp; Loss'!G50</f>
        <v>2606294.2360050203</v>
      </c>
      <c r="I30" s="311">
        <f>'6.Cons Profit &amp; Loss'!H50</f>
        <v>3125011.5655399747</v>
      </c>
    </row>
    <row r="31" spans="1:9" x14ac:dyDescent="0.2">
      <c r="A31" s="310"/>
      <c r="B31" s="310" t="str">
        <f>'6.Cons Profit &amp; Loss'!A53</f>
        <v>Diviended Distribution to members</v>
      </c>
      <c r="C31" s="321">
        <f>'6.Cons Profit &amp; Loss'!B53</f>
        <v>0</v>
      </c>
      <c r="D31" s="321">
        <f>'6.Cons Profit &amp; Loss'!C53</f>
        <v>0</v>
      </c>
      <c r="E31" s="321">
        <f>'6.Cons Profit &amp; Loss'!D53</f>
        <v>0</v>
      </c>
      <c r="F31" s="321">
        <f>'6.Cons Profit &amp; Loss'!E53</f>
        <v>0</v>
      </c>
      <c r="G31" s="321">
        <f>'6.Cons Profit &amp; Loss'!F53</f>
        <v>0</v>
      </c>
      <c r="H31" s="321">
        <f>'6.Cons Profit &amp; Loss'!G53</f>
        <v>0</v>
      </c>
      <c r="I31" s="321">
        <f>'6.Cons Profit &amp; Loss'!H53</f>
        <v>0</v>
      </c>
    </row>
    <row r="32" spans="1:9" x14ac:dyDescent="0.2">
      <c r="A32" s="310">
        <v>5</v>
      </c>
      <c r="B32" s="310" t="s">
        <v>681</v>
      </c>
      <c r="C32" s="311">
        <f>'7.Balance Sheet'!B9</f>
        <v>3414427.3972602738</v>
      </c>
      <c r="D32" s="311">
        <f>'7.Balance Sheet'!C9-'7.Balance Sheet'!B9</f>
        <v>602402.54794520605</v>
      </c>
      <c r="E32" s="311">
        <f>'7.Balance Sheet'!D9-'7.Balance Sheet'!C9</f>
        <v>584964.57945205551</v>
      </c>
      <c r="F32" s="311">
        <f>'7.Balance Sheet'!E9-'7.Balance Sheet'!D9</f>
        <v>633418.9625342479</v>
      </c>
      <c r="G32" s="311">
        <f>'7.Balance Sheet'!F9-'7.Balance Sheet'!E9</f>
        <v>685256.37247602642</v>
      </c>
      <c r="H32" s="311">
        <f>'7.Balance Sheet'!G9-'7.Balance Sheet'!F9</f>
        <v>740693.97600565292</v>
      </c>
      <c r="I32" s="311">
        <f>'7.Balance Sheet'!H9-'7.Balance Sheet'!G9</f>
        <v>799962.19895704743</v>
      </c>
    </row>
    <row r="33" spans="1:10" x14ac:dyDescent="0.2">
      <c r="A33" s="310">
        <v>6</v>
      </c>
      <c r="B33" s="310" t="s">
        <v>682</v>
      </c>
      <c r="C33" s="311">
        <f>'7.Balance Sheet'!B10</f>
        <v>675908.201</v>
      </c>
      <c r="D33" s="311">
        <f>'7.Balance Sheet'!C10-'7.Balance Sheet'!B10</f>
        <v>103537.16605</v>
      </c>
      <c r="E33" s="311">
        <f>'7.Balance Sheet'!D10-'7.Balance Sheet'!C10</f>
        <v>112201.11215250031</v>
      </c>
      <c r="F33" s="311">
        <f>'7.Balance Sheet'!E10-'7.Balance Sheet'!D10</f>
        <v>121472.6099501251</v>
      </c>
      <c r="G33" s="311">
        <f>'7.Balance Sheet'!F10-'7.Balance Sheet'!E10</f>
        <v>131390.75474713149</v>
      </c>
      <c r="H33" s="311">
        <f>'7.Balance Sheet'!G10-'7.Balance Sheet'!F10</f>
        <v>141997.03249896271</v>
      </c>
      <c r="I33" s="311">
        <f>'7.Balance Sheet'!H10-'7.Balance Sheet'!G10</f>
        <v>153335.46113911038</v>
      </c>
    </row>
    <row r="34" spans="1:10" x14ac:dyDescent="0.2">
      <c r="A34" s="310"/>
      <c r="B34" s="310" t="s">
        <v>242</v>
      </c>
      <c r="C34" s="322">
        <f>SUM(C16:C33)</f>
        <v>72549060.713052258</v>
      </c>
      <c r="D34" s="322">
        <f t="shared" ref="D34:I34" si="1">SUM(D16:D33)</f>
        <v>46608106.137025222</v>
      </c>
      <c r="E34" s="322">
        <f t="shared" si="1"/>
        <v>52948354.004734755</v>
      </c>
      <c r="F34" s="322">
        <f t="shared" si="1"/>
        <v>59845571.61664205</v>
      </c>
      <c r="G34" s="322">
        <f t="shared" si="1"/>
        <v>67282484.344159439</v>
      </c>
      <c r="H34" s="322">
        <f t="shared" si="1"/>
        <v>72694850.392200127</v>
      </c>
      <c r="I34" s="322">
        <f t="shared" si="1"/>
        <v>81247202.354518682</v>
      </c>
    </row>
    <row r="35" spans="1:10" x14ac:dyDescent="0.2">
      <c r="A35" s="310"/>
      <c r="B35" s="310" t="s">
        <v>243</v>
      </c>
      <c r="C35" s="322">
        <f t="shared" ref="C35:I35" si="2">C13-C34</f>
        <v>2976407.7076080143</v>
      </c>
      <c r="D35" s="322">
        <f t="shared" si="2"/>
        <v>3829815.6886240989</v>
      </c>
      <c r="E35" s="322">
        <f t="shared" si="2"/>
        <v>3737311.736869812</v>
      </c>
      <c r="F35" s="322">
        <f t="shared" si="2"/>
        <v>4604417.383342348</v>
      </c>
      <c r="G35" s="322">
        <f t="shared" si="2"/>
        <v>5566546.0756887496</v>
      </c>
      <c r="H35" s="322">
        <f t="shared" si="2"/>
        <v>9232000.6169982851</v>
      </c>
      <c r="I35" s="322">
        <f t="shared" si="2"/>
        <v>10483128.726915345</v>
      </c>
    </row>
    <row r="36" spans="1:10" x14ac:dyDescent="0.2">
      <c r="A36" s="319"/>
      <c r="B36" s="314" t="s">
        <v>244</v>
      </c>
      <c r="C36" s="314">
        <v>0</v>
      </c>
      <c r="D36" s="323">
        <f t="shared" ref="D36:I36" si="3">C37</f>
        <v>2976407.7076080143</v>
      </c>
      <c r="E36" s="323">
        <f t="shared" si="3"/>
        <v>6806223.3962321132</v>
      </c>
      <c r="F36" s="323">
        <f t="shared" si="3"/>
        <v>10543535.133101925</v>
      </c>
      <c r="G36" s="323">
        <f t="shared" si="3"/>
        <v>15147952.516444273</v>
      </c>
      <c r="H36" s="323">
        <f t="shared" si="3"/>
        <v>20714498.592133023</v>
      </c>
      <c r="I36" s="323">
        <f t="shared" si="3"/>
        <v>29946499.209131308</v>
      </c>
    </row>
    <row r="37" spans="1:10" x14ac:dyDescent="0.2">
      <c r="A37" s="310"/>
      <c r="B37" s="324" t="s">
        <v>245</v>
      </c>
      <c r="C37" s="322">
        <f t="shared" ref="C37:I37" si="4">C35+C36</f>
        <v>2976407.7076080143</v>
      </c>
      <c r="D37" s="322">
        <f t="shared" si="4"/>
        <v>6806223.3962321132</v>
      </c>
      <c r="E37" s="322">
        <f t="shared" si="4"/>
        <v>10543535.133101925</v>
      </c>
      <c r="F37" s="322">
        <f t="shared" si="4"/>
        <v>15147952.516444273</v>
      </c>
      <c r="G37" s="322">
        <f t="shared" si="4"/>
        <v>20714498.592133023</v>
      </c>
      <c r="H37" s="322">
        <f t="shared" si="4"/>
        <v>29946499.209131308</v>
      </c>
      <c r="I37" s="322">
        <f t="shared" si="4"/>
        <v>40429627.936046652</v>
      </c>
    </row>
    <row r="39" spans="1:10" ht="39.950000000000003" customHeight="1" x14ac:dyDescent="0.2">
      <c r="A39" s="464" t="s">
        <v>398</v>
      </c>
      <c r="B39" s="464"/>
      <c r="C39" s="464"/>
      <c r="D39" s="464"/>
      <c r="E39" s="464"/>
      <c r="F39" s="464"/>
      <c r="G39" s="464"/>
      <c r="H39" s="464"/>
      <c r="I39" s="464"/>
      <c r="J39" s="464"/>
    </row>
    <row r="41" spans="1:10" x14ac:dyDescent="0.2">
      <c r="C41" s="146"/>
    </row>
    <row r="42" spans="1:10" x14ac:dyDescent="0.2">
      <c r="C42" s="146"/>
    </row>
    <row r="43" spans="1:10" x14ac:dyDescent="0.2">
      <c r="C43" s="146"/>
    </row>
    <row r="44" spans="1:10" x14ac:dyDescent="0.2">
      <c r="C44" s="146"/>
    </row>
    <row r="45" spans="1:10" x14ac:dyDescent="0.2">
      <c r="C45" s="146"/>
    </row>
  </sheetData>
  <mergeCells count="4">
    <mergeCell ref="A1:G1"/>
    <mergeCell ref="A14:B14"/>
    <mergeCell ref="A2:I2"/>
    <mergeCell ref="A39:J39"/>
  </mergeCells>
  <pageMargins left="0.7" right="0.7" top="0.75" bottom="0.75" header="0.3" footer="0.3"/>
  <pageSetup scale="6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B1:S184"/>
  <sheetViews>
    <sheetView view="pageBreakPreview" topLeftCell="A51" zoomScale="80" zoomScaleSheetLayoutView="80" workbookViewId="0">
      <selection activeCell="C69" sqref="C69"/>
    </sheetView>
  </sheetViews>
  <sheetFormatPr defaultColWidth="8.7421875" defaultRowHeight="15" x14ac:dyDescent="0.2"/>
  <cols>
    <col min="1" max="1" width="8.7421875" style="92"/>
    <col min="2" max="2" width="32.6875" style="92" bestFit="1" customWidth="1"/>
    <col min="3" max="3" width="22.59765625" style="92" customWidth="1"/>
    <col min="4" max="5" width="15.87109375" style="92" bestFit="1" customWidth="1"/>
    <col min="6" max="6" width="16.54296875" style="92" customWidth="1"/>
    <col min="7" max="9" width="15.87109375" style="92" bestFit="1" customWidth="1"/>
    <col min="10" max="10" width="14.796875" style="92" customWidth="1"/>
    <col min="11" max="11" width="14.390625" style="92" customWidth="1"/>
    <col min="12" max="12" width="14.796875" style="92" bestFit="1" customWidth="1"/>
    <col min="13" max="18" width="11.8359375" style="92" bestFit="1" customWidth="1"/>
    <col min="19" max="19" width="4.5703125" style="92" bestFit="1" customWidth="1"/>
    <col min="20" max="16384" width="8.7421875" style="92"/>
  </cols>
  <sheetData>
    <row r="1" spans="2:10" hidden="1" x14ac:dyDescent="0.2"/>
    <row r="2" spans="2:10" hidden="1" x14ac:dyDescent="0.2"/>
    <row r="3" spans="2:10" hidden="1" x14ac:dyDescent="0.2"/>
    <row r="4" spans="2:10" hidden="1" x14ac:dyDescent="0.2"/>
    <row r="5" spans="2:10" ht="18.75" x14ac:dyDescent="0.25">
      <c r="B5" s="473" t="s">
        <v>556</v>
      </c>
      <c r="C5" s="473"/>
      <c r="D5" s="473"/>
      <c r="E5" s="473"/>
      <c r="F5" s="473"/>
      <c r="G5" s="473"/>
      <c r="H5" s="473"/>
      <c r="I5" s="473"/>
      <c r="J5" s="473"/>
    </row>
    <row r="6" spans="2:10" ht="18" x14ac:dyDescent="0.25">
      <c r="B6" s="325"/>
      <c r="C6" s="325"/>
      <c r="D6" s="325"/>
      <c r="E6" s="325"/>
      <c r="F6" s="325"/>
      <c r="G6" s="325"/>
      <c r="H6" s="325"/>
      <c r="I6" s="325"/>
      <c r="J6" s="325"/>
    </row>
    <row r="7" spans="2:10" ht="15.75" x14ac:dyDescent="0.2">
      <c r="B7" s="326" t="s">
        <v>29</v>
      </c>
      <c r="C7" s="327" t="s">
        <v>328</v>
      </c>
      <c r="D7" s="327" t="s">
        <v>2</v>
      </c>
      <c r="E7" s="327" t="s">
        <v>3</v>
      </c>
      <c r="F7" s="327" t="s">
        <v>4</v>
      </c>
      <c r="G7" s="327" t="s">
        <v>5</v>
      </c>
      <c r="H7" s="327" t="s">
        <v>6</v>
      </c>
      <c r="I7" s="327" t="s">
        <v>168</v>
      </c>
      <c r="J7" s="327" t="s">
        <v>167</v>
      </c>
    </row>
    <row r="8" spans="2:10" x14ac:dyDescent="0.2">
      <c r="B8" s="189"/>
      <c r="C8" s="189"/>
      <c r="D8" s="189"/>
      <c r="E8" s="189"/>
      <c r="F8" s="189"/>
      <c r="G8" s="189"/>
      <c r="H8" s="189"/>
      <c r="I8" s="189"/>
      <c r="J8" s="189"/>
    </row>
    <row r="9" spans="2:10" x14ac:dyDescent="0.2">
      <c r="B9" s="189" t="s">
        <v>870</v>
      </c>
      <c r="C9" s="189"/>
      <c r="D9" s="328">
        <f>'6.Cons Profit &amp; Loss'!B55</f>
        <v>2312049.6536333025</v>
      </c>
      <c r="E9" s="328">
        <f>'6.Cons Profit &amp; Loss'!C55</f>
        <v>3226479.0686340444</v>
      </c>
      <c r="F9" s="328">
        <f>'6.Cons Profit &amp; Loss'!D55</f>
        <v>4209758.6640784638</v>
      </c>
      <c r="G9" s="328">
        <f>'6.Cons Profit &amp; Loss'!E55</f>
        <v>5319393.6062189154</v>
      </c>
      <c r="H9" s="328">
        <f>'6.Cons Profit &amp; Loss'!F55</f>
        <v>6554810.3794641998</v>
      </c>
      <c r="I9" s="328">
        <f>'6.Cons Profit &amp; Loss'!G55</f>
        <v>7874443.4259642893</v>
      </c>
      <c r="J9" s="328">
        <f>'6.Cons Profit &amp; Loss'!H55</f>
        <v>9125571.535881348</v>
      </c>
    </row>
    <row r="10" spans="2:10" x14ac:dyDescent="0.2">
      <c r="B10" s="189"/>
      <c r="C10" s="189"/>
      <c r="D10" s="328"/>
      <c r="E10" s="328"/>
      <c r="F10" s="328"/>
      <c r="G10" s="328"/>
      <c r="H10" s="328"/>
      <c r="I10" s="328"/>
      <c r="J10" s="328"/>
    </row>
    <row r="11" spans="2:10" x14ac:dyDescent="0.2">
      <c r="B11" s="192" t="s">
        <v>882</v>
      </c>
      <c r="C11" s="192"/>
      <c r="D11" s="328">
        <f>'6.Cons Profit &amp; Loss'!B42</f>
        <v>1357557.1910339999</v>
      </c>
      <c r="E11" s="328">
        <f>'6.Cons Profit &amp; Loss'!C42</f>
        <v>1357557.1910339999</v>
      </c>
      <c r="F11" s="328">
        <f>'6.Cons Profit &amp; Loss'!D42</f>
        <v>1357557.1910339999</v>
      </c>
      <c r="G11" s="328">
        <f>'6.Cons Profit &amp; Loss'!E42</f>
        <v>1357557.1910339999</v>
      </c>
      <c r="H11" s="328">
        <f>'6.Cons Profit &amp; Loss'!F42</f>
        <v>1357557.1910339999</v>
      </c>
      <c r="I11" s="328">
        <f>'6.Cons Profit &amp; Loss'!G42</f>
        <v>1357557.1910339999</v>
      </c>
      <c r="J11" s="328">
        <f>'6.Cons Profit &amp; Loss'!H42</f>
        <v>1357557.1910339999</v>
      </c>
    </row>
    <row r="12" spans="2:10" x14ac:dyDescent="0.2">
      <c r="B12" s="189" t="s">
        <v>35</v>
      </c>
      <c r="C12" s="189"/>
      <c r="D12" s="328">
        <f>'6.Cons Profit &amp; Loss'!B43</f>
        <v>82310</v>
      </c>
      <c r="E12" s="328">
        <f>'6.Cons Profit &amp; Loss'!C43</f>
        <v>82310</v>
      </c>
      <c r="F12" s="328">
        <f>'6.Cons Profit &amp; Loss'!D43</f>
        <v>82310</v>
      </c>
      <c r="G12" s="328">
        <f>'6.Cons Profit &amp; Loss'!E43</f>
        <v>82310</v>
      </c>
      <c r="H12" s="328">
        <f>'6.Cons Profit &amp; Loss'!F43</f>
        <v>82310</v>
      </c>
      <c r="I12" s="328">
        <f>'6.Cons Profit &amp; Loss'!G43</f>
        <v>0</v>
      </c>
      <c r="J12" s="328">
        <f>'6.Cons Profit &amp; Loss'!H43</f>
        <v>0</v>
      </c>
    </row>
    <row r="13" spans="2:10" x14ac:dyDescent="0.2">
      <c r="B13" s="189"/>
      <c r="C13" s="189"/>
      <c r="D13" s="328"/>
      <c r="E13" s="328"/>
      <c r="F13" s="328"/>
      <c r="G13" s="328"/>
      <c r="H13" s="328"/>
      <c r="I13" s="328"/>
      <c r="J13" s="328"/>
    </row>
    <row r="14" spans="2:10" x14ac:dyDescent="0.2">
      <c r="B14" s="189" t="s">
        <v>31</v>
      </c>
      <c r="C14" s="189"/>
      <c r="D14" s="328">
        <f>SUM(D9:D12)</f>
        <v>3751916.8446673024</v>
      </c>
      <c r="E14" s="328">
        <f t="shared" ref="E14:J14" si="0">SUM(E9:E12)</f>
        <v>4666346.2596680447</v>
      </c>
      <c r="F14" s="328">
        <f t="shared" si="0"/>
        <v>5649625.8551124632</v>
      </c>
      <c r="G14" s="328">
        <f t="shared" si="0"/>
        <v>6759260.7972529158</v>
      </c>
      <c r="H14" s="328">
        <f t="shared" si="0"/>
        <v>7994677.5704982001</v>
      </c>
      <c r="I14" s="328">
        <f t="shared" si="0"/>
        <v>9232000.6169982888</v>
      </c>
      <c r="J14" s="328">
        <f t="shared" si="0"/>
        <v>10483128.726915348</v>
      </c>
    </row>
    <row r="15" spans="2:10" x14ac:dyDescent="0.2">
      <c r="B15" s="189" t="s">
        <v>337</v>
      </c>
      <c r="C15" s="329">
        <f>-'1.Project Cost and MOF'!E22</f>
        <v>-30753483.93405411</v>
      </c>
      <c r="D15" s="328">
        <f>D14</f>
        <v>3751916.8446673024</v>
      </c>
      <c r="E15" s="328">
        <f t="shared" ref="E15:J15" si="1">E14</f>
        <v>4666346.2596680447</v>
      </c>
      <c r="F15" s="328">
        <f t="shared" si="1"/>
        <v>5649625.8551124632</v>
      </c>
      <c r="G15" s="328">
        <f t="shared" si="1"/>
        <v>6759260.7972529158</v>
      </c>
      <c r="H15" s="328">
        <f t="shared" si="1"/>
        <v>7994677.5704982001</v>
      </c>
      <c r="I15" s="328">
        <f t="shared" si="1"/>
        <v>9232000.6169982888</v>
      </c>
      <c r="J15" s="328">
        <f t="shared" si="1"/>
        <v>10483128.726915348</v>
      </c>
    </row>
    <row r="16" spans="2:10" x14ac:dyDescent="0.2">
      <c r="B16" s="189" t="s">
        <v>277</v>
      </c>
      <c r="C16" s="330">
        <f>IRR(C15:J15)</f>
        <v>0.10768087140037697</v>
      </c>
      <c r="D16" s="331"/>
      <c r="E16" s="332"/>
      <c r="F16" s="332"/>
      <c r="G16" s="332"/>
      <c r="H16" s="332"/>
      <c r="I16" s="332"/>
      <c r="J16" s="332"/>
    </row>
    <row r="17" spans="2:19" x14ac:dyDescent="0.2">
      <c r="B17" s="189"/>
      <c r="C17" s="189"/>
      <c r="D17" s="189"/>
      <c r="E17" s="189"/>
      <c r="F17" s="189"/>
      <c r="G17" s="189"/>
      <c r="H17" s="189"/>
      <c r="I17" s="189"/>
      <c r="J17" s="189"/>
    </row>
    <row r="18" spans="2:19" ht="18" x14ac:dyDescent="0.25">
      <c r="B18" s="333" t="s">
        <v>395</v>
      </c>
      <c r="C18" s="333"/>
      <c r="D18" s="334">
        <f>1/(1+$C$16)</f>
        <v>0.90278709854017591</v>
      </c>
      <c r="E18" s="335">
        <f t="shared" ref="E18:J18" si="2">D18/(1+$C$16)</f>
        <v>0.81502454529058921</v>
      </c>
      <c r="F18" s="335">
        <f t="shared" si="2"/>
        <v>0.7357936444819172</v>
      </c>
      <c r="G18" s="335">
        <f t="shared" si="2"/>
        <v>0.66426500942613176</v>
      </c>
      <c r="H18" s="335">
        <f t="shared" si="2"/>
        <v>0.59968988052158012</v>
      </c>
      <c r="I18" s="335">
        <f t="shared" si="2"/>
        <v>0.54139228725998201</v>
      </c>
      <c r="J18" s="335">
        <f t="shared" si="2"/>
        <v>0.48876197218746859</v>
      </c>
      <c r="L18" s="336"/>
      <c r="M18" s="336"/>
      <c r="N18" s="336"/>
      <c r="O18" s="336"/>
      <c r="P18" s="336"/>
      <c r="Q18" s="336"/>
      <c r="R18" s="336"/>
      <c r="S18" s="336"/>
    </row>
    <row r="19" spans="2:19" x14ac:dyDescent="0.2">
      <c r="B19" s="189" t="s">
        <v>32</v>
      </c>
      <c r="C19" s="189"/>
      <c r="D19" s="328">
        <f t="shared" ref="D19:J19" si="3">D14*D18</f>
        <v>3387182.1221612059</v>
      </c>
      <c r="E19" s="328">
        <f t="shared" si="3"/>
        <v>3803186.7384543899</v>
      </c>
      <c r="F19" s="328">
        <f t="shared" si="3"/>
        <v>4156958.7978924671</v>
      </c>
      <c r="G19" s="328">
        <f t="shared" si="3"/>
        <v>4489940.4372008909</v>
      </c>
      <c r="H19" s="328">
        <f t="shared" si="3"/>
        <v>4794327.2370606223</v>
      </c>
      <c r="I19" s="328">
        <f t="shared" si="3"/>
        <v>4998133.9300222686</v>
      </c>
      <c r="J19" s="328">
        <f t="shared" si="3"/>
        <v>5123754.6712622521</v>
      </c>
      <c r="L19" s="150"/>
    </row>
    <row r="20" spans="2:19" x14ac:dyDescent="0.2">
      <c r="B20" s="189" t="s">
        <v>33</v>
      </c>
      <c r="C20" s="189"/>
      <c r="D20" s="469">
        <f>SUM(D19:J19)</f>
        <v>30753483.934054099</v>
      </c>
      <c r="E20" s="469"/>
      <c r="F20" s="469"/>
      <c r="G20" s="469"/>
      <c r="H20" s="469"/>
      <c r="I20" s="469"/>
      <c r="J20" s="469"/>
      <c r="L20" s="150"/>
    </row>
    <row r="21" spans="2:19" x14ac:dyDescent="0.2">
      <c r="B21" s="189"/>
      <c r="C21" s="189"/>
      <c r="D21" s="332"/>
      <c r="E21" s="332"/>
      <c r="F21" s="332"/>
      <c r="G21" s="332"/>
      <c r="H21" s="332"/>
      <c r="I21" s="332"/>
      <c r="J21" s="332"/>
    </row>
    <row r="22" spans="2:19" x14ac:dyDescent="0.2">
      <c r="B22" s="337" t="s">
        <v>34</v>
      </c>
      <c r="C22" s="337"/>
      <c r="D22" s="470">
        <f>-C15</f>
        <v>30753483.93405411</v>
      </c>
      <c r="E22" s="470"/>
      <c r="F22" s="470"/>
      <c r="G22" s="470"/>
      <c r="H22" s="470"/>
      <c r="I22" s="470"/>
      <c r="J22" s="470"/>
    </row>
    <row r="23" spans="2:19" x14ac:dyDescent="0.2">
      <c r="F23" s="336">
        <f>D20-D22</f>
        <v>0</v>
      </c>
    </row>
    <row r="24" spans="2:19" ht="29.45" customHeight="1" x14ac:dyDescent="0.2">
      <c r="B24" s="474" t="s">
        <v>412</v>
      </c>
      <c r="C24" s="474"/>
      <c r="D24" s="474"/>
      <c r="E24" s="474"/>
      <c r="F24" s="474"/>
      <c r="G24" s="474"/>
      <c r="H24" s="474"/>
      <c r="I24" s="474"/>
      <c r="J24" s="474"/>
    </row>
    <row r="25" spans="2:19" x14ac:dyDescent="0.2">
      <c r="K25" s="336"/>
      <c r="L25" s="336"/>
      <c r="M25" s="336"/>
    </row>
    <row r="26" spans="2:19" ht="18.75" x14ac:dyDescent="0.25">
      <c r="B26" s="427" t="s">
        <v>557</v>
      </c>
      <c r="C26" s="427"/>
      <c r="D26" s="427"/>
      <c r="E26" s="427"/>
      <c r="F26" s="427"/>
      <c r="G26" s="427"/>
      <c r="H26" s="427"/>
      <c r="I26" s="427"/>
    </row>
    <row r="27" spans="2:19" x14ac:dyDescent="0.2">
      <c r="K27" s="336"/>
    </row>
    <row r="28" spans="2:19" x14ac:dyDescent="0.2">
      <c r="B28" s="338" t="s">
        <v>0</v>
      </c>
      <c r="C28" s="339" t="s">
        <v>2</v>
      </c>
      <c r="D28" s="339" t="s">
        <v>3</v>
      </c>
      <c r="E28" s="339" t="s">
        <v>4</v>
      </c>
      <c r="F28" s="339" t="s">
        <v>5</v>
      </c>
      <c r="G28" s="339" t="s">
        <v>6</v>
      </c>
      <c r="H28" s="339" t="s">
        <v>168</v>
      </c>
      <c r="I28" s="339" t="s">
        <v>167</v>
      </c>
    </row>
    <row r="29" spans="2:19" x14ac:dyDescent="0.2">
      <c r="B29" s="93"/>
      <c r="C29" s="93"/>
      <c r="D29" s="93"/>
      <c r="E29" s="93"/>
      <c r="F29" s="93"/>
      <c r="G29" s="93"/>
      <c r="H29" s="93"/>
      <c r="I29" s="93"/>
    </row>
    <row r="30" spans="2:19" x14ac:dyDescent="0.2">
      <c r="B30" s="93" t="s">
        <v>36</v>
      </c>
      <c r="C30" s="93"/>
      <c r="D30" s="93"/>
      <c r="E30" s="93"/>
      <c r="F30" s="93"/>
      <c r="G30" s="93"/>
      <c r="H30" s="93"/>
      <c r="I30" s="93"/>
    </row>
    <row r="31" spans="2:19" x14ac:dyDescent="0.2">
      <c r="B31" s="93"/>
      <c r="C31" s="95"/>
      <c r="D31" s="95"/>
      <c r="E31" s="95"/>
      <c r="F31" s="95"/>
      <c r="G31" s="95"/>
      <c r="H31" s="95"/>
      <c r="I31" s="95"/>
    </row>
    <row r="32" spans="2:19" x14ac:dyDescent="0.2">
      <c r="B32" s="94" t="str">
        <f>'6.Cons Profit &amp; Loss'!A8</f>
        <v>Activity 1 - Fruit Processing Unit</v>
      </c>
      <c r="C32" s="95">
        <f>'6.Cons Profit &amp; Loss'!B8</f>
        <v>41542200</v>
      </c>
      <c r="D32" s="95">
        <f>'6.Cons Profit &amp; Loss'!C8</f>
        <v>48871431</v>
      </c>
      <c r="E32" s="95">
        <f>'6.Cons Profit &amp; Loss'!D8</f>
        <v>55988500.050000012</v>
      </c>
      <c r="F32" s="95">
        <f>'6.Cons Profit &amp; Loss'!E8</f>
        <v>63695097.427500024</v>
      </c>
      <c r="G32" s="95">
        <f>'6.Cons Profit &amp; Loss'!F8</f>
        <v>72032383.292625025</v>
      </c>
      <c r="H32" s="95">
        <f>'6.Cons Profit &amp; Loss'!G8</f>
        <v>81044160.000693798</v>
      </c>
      <c r="I32" s="95">
        <f>'6.Cons Profit &amp; Loss'!H8</f>
        <v>90777033.421337873</v>
      </c>
    </row>
    <row r="33" spans="2:9" hidden="1" x14ac:dyDescent="0.2">
      <c r="B33" s="94" t="str">
        <f>'6.Cons Profit &amp; Loss'!A9</f>
        <v>Activity 2 - Cold Press Oil</v>
      </c>
      <c r="C33" s="95">
        <f>'6.Cons Profit &amp; Loss'!B9</f>
        <v>0</v>
      </c>
      <c r="D33" s="95">
        <f>'6.Cons Profit &amp; Loss'!C9</f>
        <v>0</v>
      </c>
      <c r="E33" s="95">
        <f>'6.Cons Profit &amp; Loss'!D9</f>
        <v>0</v>
      </c>
      <c r="F33" s="95">
        <f>'6.Cons Profit &amp; Loss'!E9</f>
        <v>0</v>
      </c>
      <c r="G33" s="95">
        <f>'6.Cons Profit &amp; Loss'!F9</f>
        <v>0</v>
      </c>
      <c r="H33" s="95">
        <f>'6.Cons Profit &amp; Loss'!G9</f>
        <v>0</v>
      </c>
      <c r="I33" s="95">
        <f>'6.Cons Profit &amp; Loss'!H9</f>
        <v>0</v>
      </c>
    </row>
    <row r="34" spans="2:9" hidden="1" x14ac:dyDescent="0.2">
      <c r="B34" s="94" t="str">
        <f>'6.Cons Profit &amp; Loss'!A10</f>
        <v>Faclitiy 3 - Warehouse</v>
      </c>
      <c r="C34" s="95">
        <f>'6.Cons Profit &amp; Loss'!B10</f>
        <v>0</v>
      </c>
      <c r="D34" s="95">
        <f>'6.Cons Profit &amp; Loss'!C10</f>
        <v>0</v>
      </c>
      <c r="E34" s="95">
        <f>'6.Cons Profit &amp; Loss'!D10</f>
        <v>0</v>
      </c>
      <c r="F34" s="95">
        <f>'6.Cons Profit &amp; Loss'!E10</f>
        <v>0</v>
      </c>
      <c r="G34" s="95">
        <f>'6.Cons Profit &amp; Loss'!F10</f>
        <v>0</v>
      </c>
      <c r="H34" s="95">
        <f>'6.Cons Profit &amp; Loss'!G10</f>
        <v>0</v>
      </c>
      <c r="I34" s="95">
        <f>'6.Cons Profit &amp; Loss'!H10</f>
        <v>0</v>
      </c>
    </row>
    <row r="35" spans="2:9" hidden="1" x14ac:dyDescent="0.2">
      <c r="B35" s="94" t="str">
        <f>'6.Cons Profit &amp; Loss'!A11</f>
        <v xml:space="preserve">Faclitiy 4 - Custom Hiring </v>
      </c>
      <c r="C35" s="95">
        <f>'6.Cons Profit &amp; Loss'!B11</f>
        <v>0</v>
      </c>
      <c r="D35" s="95">
        <f>'6.Cons Profit &amp; Loss'!C11</f>
        <v>0</v>
      </c>
      <c r="E35" s="95">
        <f>'6.Cons Profit &amp; Loss'!D11</f>
        <v>0</v>
      </c>
      <c r="F35" s="95">
        <f>'6.Cons Profit &amp; Loss'!E11</f>
        <v>0</v>
      </c>
      <c r="G35" s="95">
        <f>'6.Cons Profit &amp; Loss'!F11</f>
        <v>0</v>
      </c>
      <c r="H35" s="95">
        <f>'6.Cons Profit &amp; Loss'!G11</f>
        <v>0</v>
      </c>
      <c r="I35" s="95">
        <f>'6.Cons Profit &amp; Loss'!H11</f>
        <v>0</v>
      </c>
    </row>
    <row r="36" spans="2:9" hidden="1" x14ac:dyDescent="0.2">
      <c r="B36" s="94" t="str">
        <f>'6.Cons Profit &amp; Loss'!A12</f>
        <v>Faclitiy 5 - Agri Input Centre</v>
      </c>
      <c r="C36" s="95">
        <f>'6.Cons Profit &amp; Loss'!B12</f>
        <v>0</v>
      </c>
      <c r="D36" s="95">
        <f>'6.Cons Profit &amp; Loss'!C12</f>
        <v>0</v>
      </c>
      <c r="E36" s="95">
        <f>'6.Cons Profit &amp; Loss'!D12</f>
        <v>0</v>
      </c>
      <c r="F36" s="95">
        <f>'6.Cons Profit &amp; Loss'!E12</f>
        <v>0</v>
      </c>
      <c r="G36" s="95">
        <f>'6.Cons Profit &amp; Loss'!F12</f>
        <v>0</v>
      </c>
      <c r="H36" s="95">
        <f>'6.Cons Profit &amp; Loss'!G12</f>
        <v>0</v>
      </c>
      <c r="I36" s="95">
        <f>'6.Cons Profit &amp; Loss'!H12</f>
        <v>0</v>
      </c>
    </row>
    <row r="37" spans="2:9" hidden="1" x14ac:dyDescent="0.2">
      <c r="B37" s="94" t="str">
        <f>'6.Cons Profit &amp; Loss'!A13</f>
        <v>Facility 6 - Processing Unit - Horti Commodity</v>
      </c>
      <c r="C37" s="95">
        <f>'6.Cons Profit &amp; Loss'!B13</f>
        <v>0</v>
      </c>
      <c r="D37" s="95">
        <f>'6.Cons Profit &amp; Loss'!C13</f>
        <v>0</v>
      </c>
      <c r="E37" s="95">
        <f>'6.Cons Profit &amp; Loss'!D13</f>
        <v>0</v>
      </c>
      <c r="F37" s="95">
        <f>'6.Cons Profit &amp; Loss'!E13</f>
        <v>0</v>
      </c>
      <c r="G37" s="95">
        <f>'6.Cons Profit &amp; Loss'!F13</f>
        <v>0</v>
      </c>
      <c r="H37" s="95">
        <f>'6.Cons Profit &amp; Loss'!G13</f>
        <v>0</v>
      </c>
      <c r="I37" s="95">
        <f>'6.Cons Profit &amp; Loss'!H13</f>
        <v>0</v>
      </c>
    </row>
    <row r="38" spans="2:9" x14ac:dyDescent="0.2">
      <c r="B38" s="94"/>
      <c r="C38" s="94"/>
      <c r="D38" s="94"/>
      <c r="E38" s="94"/>
      <c r="F38" s="94"/>
      <c r="G38" s="94"/>
      <c r="H38" s="94"/>
      <c r="I38" s="94"/>
    </row>
    <row r="39" spans="2:9" x14ac:dyDescent="0.2">
      <c r="B39" s="93" t="s">
        <v>8</v>
      </c>
      <c r="C39" s="95">
        <f>SUM(C32:C38)</f>
        <v>41542200</v>
      </c>
      <c r="D39" s="95">
        <f t="shared" ref="D39:I39" si="4">SUM(D32:D38)</f>
        <v>48871431</v>
      </c>
      <c r="E39" s="95">
        <f t="shared" si="4"/>
        <v>55988500.050000012</v>
      </c>
      <c r="F39" s="95">
        <f t="shared" si="4"/>
        <v>63695097.427500024</v>
      </c>
      <c r="G39" s="95">
        <f t="shared" si="4"/>
        <v>72032383.292625025</v>
      </c>
      <c r="H39" s="95">
        <f t="shared" si="4"/>
        <v>81044160.000693798</v>
      </c>
      <c r="I39" s="95">
        <f t="shared" si="4"/>
        <v>90777033.421337873</v>
      </c>
    </row>
    <row r="40" spans="2:9" x14ac:dyDescent="0.2">
      <c r="B40" s="93"/>
      <c r="C40" s="95"/>
      <c r="D40" s="95"/>
      <c r="E40" s="95"/>
      <c r="F40" s="95"/>
      <c r="G40" s="95"/>
      <c r="H40" s="95"/>
      <c r="I40" s="95"/>
    </row>
    <row r="41" spans="2:9" x14ac:dyDescent="0.2">
      <c r="B41" s="93" t="s">
        <v>37</v>
      </c>
      <c r="C41" s="95">
        <f>'6.Cons Profit &amp; Loss'!B25</f>
        <v>33119501.848999996</v>
      </c>
      <c r="D41" s="95">
        <f>'6.Cons Profit &amp; Loss'!C25</f>
        <v>38868731.186449997</v>
      </c>
      <c r="E41" s="95">
        <f>'6.Cons Profit &amp; Loss'!D25</f>
        <v>44470122.847972512</v>
      </c>
      <c r="F41" s="95">
        <f>'6.Cons Profit &amp; Loss'!E25</f>
        <v>50534481.847681142</v>
      </c>
      <c r="G41" s="95">
        <f>'6.Cons Profit &amp; Loss'!F25</f>
        <v>57094101.440240718</v>
      </c>
      <c r="H41" s="95">
        <f>'6.Cons Profit &amp; Loss'!G25</f>
        <v>64183346.787437022</v>
      </c>
      <c r="I41" s="95">
        <f>'6.Cons Profit &amp; Loss'!H25</f>
        <v>71838781.415752381</v>
      </c>
    </row>
    <row r="42" spans="2:9" x14ac:dyDescent="0.2">
      <c r="B42" s="93"/>
      <c r="C42" s="95"/>
      <c r="D42" s="95"/>
      <c r="E42" s="95"/>
      <c r="F42" s="95"/>
      <c r="G42" s="95"/>
      <c r="H42" s="95"/>
      <c r="I42" s="95"/>
    </row>
    <row r="43" spans="2:9" x14ac:dyDescent="0.2">
      <c r="B43" s="98" t="s">
        <v>38</v>
      </c>
      <c r="C43" s="104">
        <f>C39-C41</f>
        <v>8422698.1510000043</v>
      </c>
      <c r="D43" s="104">
        <f t="shared" ref="D43:I43" si="5">D39-D41</f>
        <v>10002699.813550003</v>
      </c>
      <c r="E43" s="104">
        <f t="shared" si="5"/>
        <v>11518377.2020275</v>
      </c>
      <c r="F43" s="104">
        <f t="shared" si="5"/>
        <v>13160615.579818882</v>
      </c>
      <c r="G43" s="104">
        <f t="shared" si="5"/>
        <v>14938281.852384306</v>
      </c>
      <c r="H43" s="104">
        <f t="shared" si="5"/>
        <v>16860813.213256776</v>
      </c>
      <c r="I43" s="104">
        <f t="shared" si="5"/>
        <v>18938252.005585492</v>
      </c>
    </row>
    <row r="44" spans="2:9" x14ac:dyDescent="0.2">
      <c r="B44" s="93"/>
      <c r="C44" s="95"/>
      <c r="D44" s="95"/>
      <c r="E44" s="95"/>
      <c r="F44" s="95"/>
      <c r="G44" s="95"/>
      <c r="H44" s="95"/>
      <c r="I44" s="95"/>
    </row>
    <row r="45" spans="2:9" x14ac:dyDescent="0.2">
      <c r="B45" s="98" t="s">
        <v>40</v>
      </c>
      <c r="C45" s="104">
        <f>'6.Cons Profit &amp; Loss'!B36+'6.Cons Profit &amp; Loss'!B42+'6.Cons Profit &amp; Loss'!B43</f>
        <v>4743867.1910340004</v>
      </c>
      <c r="D45" s="104">
        <f>'6.Cons Profit &amp; Loss'!C36+'6.Cons Profit &amp; Loss'!C42+'6.Cons Profit &amp; Loss'!C43</f>
        <v>4909067.1910340004</v>
      </c>
      <c r="E45" s="104">
        <f>'6.Cons Profit &amp; Loss'!D36+'6.Cons Profit &amp; Loss'!D42+'6.Cons Profit &amp; Loss'!D43</f>
        <v>5082527.1910340004</v>
      </c>
      <c r="F45" s="104">
        <f>'6.Cons Profit &amp; Loss'!E36+'6.Cons Profit &amp; Loss'!E42+'6.Cons Profit &amp; Loss'!E43</f>
        <v>5264660.1910340004</v>
      </c>
      <c r="G45" s="104">
        <f>'6.Cons Profit &amp; Loss'!F36+'6.Cons Profit &amp; Loss'!F42+'6.Cons Profit &amp; Loss'!F43</f>
        <v>5455899.8410340007</v>
      </c>
      <c r="H45" s="104">
        <f>'6.Cons Profit &amp; Loss'!G36+'6.Cons Profit &amp; Loss'!G42+'6.Cons Profit &amp; Loss'!G43</f>
        <v>5574391.473534001</v>
      </c>
      <c r="I45" s="104">
        <f>'6.Cons Profit &amp; Loss'!H36+'6.Cons Profit &amp; Loss'!H42+'6.Cons Profit &amp; Loss'!H43</f>
        <v>5785233.187659001</v>
      </c>
    </row>
    <row r="46" spans="2:9" x14ac:dyDescent="0.2">
      <c r="B46" s="93"/>
      <c r="C46" s="93"/>
      <c r="D46" s="93"/>
      <c r="E46" s="93"/>
      <c r="F46" s="93"/>
      <c r="G46" s="93"/>
      <c r="H46" s="93"/>
      <c r="I46" s="93"/>
    </row>
    <row r="47" spans="2:9" x14ac:dyDescent="0.2">
      <c r="B47" s="93" t="s">
        <v>39</v>
      </c>
      <c r="C47" s="340">
        <f>C45/C43</f>
        <v>0.56322417187309193</v>
      </c>
      <c r="D47" s="340">
        <f>D45/D43</f>
        <v>0.49077421921469727</v>
      </c>
      <c r="E47" s="340">
        <f>E45/E43</f>
        <v>0.44125375492472657</v>
      </c>
      <c r="F47" s="340">
        <f>F45/F43</f>
        <v>0.40003145438782378</v>
      </c>
      <c r="G47" s="340">
        <f>G45/G43</f>
        <v>0.36522940823768041</v>
      </c>
      <c r="H47" s="340">
        <f t="shared" ref="H47:I47" si="6">H45/H43</f>
        <v>0.33061225476071038</v>
      </c>
      <c r="I47" s="340">
        <f t="shared" si="6"/>
        <v>0.30547873087509619</v>
      </c>
    </row>
    <row r="49" spans="2:10" x14ac:dyDescent="0.2">
      <c r="B49" s="151" t="s">
        <v>133</v>
      </c>
      <c r="C49" s="341">
        <f>AVERAGE(C47:I47)</f>
        <v>0.41380057061054665</v>
      </c>
    </row>
    <row r="51" spans="2:10" ht="41.45" customHeight="1" x14ac:dyDescent="0.2">
      <c r="B51" s="475" t="s">
        <v>413</v>
      </c>
      <c r="C51" s="475"/>
      <c r="D51" s="475"/>
      <c r="E51" s="475"/>
      <c r="F51" s="475"/>
      <c r="G51" s="475"/>
      <c r="H51" s="475"/>
      <c r="I51" s="475"/>
      <c r="J51" s="475"/>
    </row>
    <row r="54" spans="2:10" ht="18.75" x14ac:dyDescent="0.25">
      <c r="B54" s="427" t="s">
        <v>558</v>
      </c>
      <c r="C54" s="427"/>
      <c r="D54" s="427"/>
      <c r="E54" s="427"/>
      <c r="F54" s="427"/>
      <c r="G54" s="427"/>
      <c r="H54" s="427"/>
      <c r="I54" s="427"/>
    </row>
    <row r="56" spans="2:10" x14ac:dyDescent="0.2">
      <c r="B56" s="123" t="s">
        <v>29</v>
      </c>
      <c r="C56" s="139" t="s">
        <v>2</v>
      </c>
      <c r="D56" s="139" t="s">
        <v>3</v>
      </c>
      <c r="E56" s="139" t="s">
        <v>4</v>
      </c>
      <c r="F56" s="139" t="s">
        <v>5</v>
      </c>
      <c r="G56" s="139" t="s">
        <v>6</v>
      </c>
      <c r="H56" s="139" t="s">
        <v>168</v>
      </c>
      <c r="I56" s="139" t="s">
        <v>167</v>
      </c>
    </row>
    <row r="57" spans="2:10" x14ac:dyDescent="0.2">
      <c r="B57" s="93"/>
      <c r="C57" s="93"/>
      <c r="D57" s="93"/>
      <c r="E57" s="93"/>
      <c r="F57" s="93"/>
      <c r="G57" s="93"/>
      <c r="H57" s="93"/>
      <c r="I57" s="93"/>
    </row>
    <row r="58" spans="2:10" x14ac:dyDescent="0.2">
      <c r="B58" s="93" t="s">
        <v>368</v>
      </c>
      <c r="C58" s="342">
        <f>'6.Cons Profit &amp; Loss'!B51</f>
        <v>2312049.6536333025</v>
      </c>
      <c r="D58" s="342">
        <f>'6.Cons Profit &amp; Loss'!C51</f>
        <v>3226479.0686340444</v>
      </c>
      <c r="E58" s="342">
        <f>'6.Cons Profit &amp; Loss'!D51</f>
        <v>4209758.6640784638</v>
      </c>
      <c r="F58" s="342">
        <f>'6.Cons Profit &amp; Loss'!E51</f>
        <v>5319393.6062189154</v>
      </c>
      <c r="G58" s="342">
        <f>'6.Cons Profit &amp; Loss'!F51</f>
        <v>6554810.3794641998</v>
      </c>
      <c r="H58" s="342">
        <f>'6.Cons Profit &amp; Loss'!G51</f>
        <v>7874443.4259642893</v>
      </c>
      <c r="I58" s="342">
        <f>'6.Cons Profit &amp; Loss'!H51</f>
        <v>9125571.535881348</v>
      </c>
    </row>
    <row r="59" spans="2:10" x14ac:dyDescent="0.2">
      <c r="B59" s="93"/>
      <c r="C59" s="342"/>
      <c r="D59" s="342"/>
      <c r="E59" s="342"/>
      <c r="F59" s="342"/>
      <c r="G59" s="342"/>
      <c r="H59" s="342"/>
      <c r="I59" s="342"/>
    </row>
    <row r="60" spans="2:10" x14ac:dyDescent="0.2">
      <c r="B60" s="93" t="s">
        <v>41</v>
      </c>
      <c r="C60" s="342">
        <f>'6.Cons Profit &amp; Loss'!B42</f>
        <v>1357557.1910339999</v>
      </c>
      <c r="D60" s="342">
        <f>'6.Cons Profit &amp; Loss'!C42</f>
        <v>1357557.1910339999</v>
      </c>
      <c r="E60" s="342">
        <f>'6.Cons Profit &amp; Loss'!D42</f>
        <v>1357557.1910339999</v>
      </c>
      <c r="F60" s="342">
        <f>'6.Cons Profit &amp; Loss'!E42</f>
        <v>1357557.1910339999</v>
      </c>
      <c r="G60" s="342">
        <f>'6.Cons Profit &amp; Loss'!F42</f>
        <v>1357557.1910339999</v>
      </c>
      <c r="H60" s="342">
        <f>'6.Cons Profit &amp; Loss'!G42</f>
        <v>1357557.1910339999</v>
      </c>
      <c r="I60" s="342">
        <f>'6.Cons Profit &amp; Loss'!H42</f>
        <v>1357557.1910339999</v>
      </c>
    </row>
    <row r="61" spans="2:10" x14ac:dyDescent="0.2">
      <c r="B61" s="245" t="s">
        <v>47</v>
      </c>
      <c r="C61" s="342">
        <f>'6.Cons Profit &amp; Loss'!B43</f>
        <v>82310</v>
      </c>
      <c r="D61" s="342">
        <f>'6.Cons Profit &amp; Loss'!C43</f>
        <v>82310</v>
      </c>
      <c r="E61" s="342">
        <f>'6.Cons Profit &amp; Loss'!D43</f>
        <v>82310</v>
      </c>
      <c r="F61" s="342">
        <f>'6.Cons Profit &amp; Loss'!E43</f>
        <v>82310</v>
      </c>
      <c r="G61" s="342">
        <f>'6.Cons Profit &amp; Loss'!F43</f>
        <v>82310</v>
      </c>
      <c r="H61" s="342">
        <f>'6.Cons Profit &amp; Loss'!G43</f>
        <v>0</v>
      </c>
      <c r="I61" s="342">
        <f>'6.Cons Profit &amp; Loss'!H43</f>
        <v>0</v>
      </c>
    </row>
    <row r="62" spans="2:10" x14ac:dyDescent="0.2">
      <c r="B62" s="93"/>
      <c r="C62" s="342"/>
      <c r="D62" s="342"/>
      <c r="E62" s="342"/>
      <c r="F62" s="342"/>
      <c r="G62" s="342"/>
      <c r="H62" s="342"/>
      <c r="I62" s="342"/>
    </row>
    <row r="63" spans="2:10" x14ac:dyDescent="0.2">
      <c r="B63" s="93" t="s">
        <v>31</v>
      </c>
      <c r="C63" s="342">
        <f>SUM(C58:C61)</f>
        <v>3751916.8446673024</v>
      </c>
      <c r="D63" s="342">
        <f t="shared" ref="D63:I63" si="7">SUM(D58:D61)</f>
        <v>4666346.2596680447</v>
      </c>
      <c r="E63" s="342">
        <f t="shared" si="7"/>
        <v>5649625.8551124632</v>
      </c>
      <c r="F63" s="342">
        <f t="shared" si="7"/>
        <v>6759260.7972529158</v>
      </c>
      <c r="G63" s="342">
        <f t="shared" si="7"/>
        <v>7994677.5704982001</v>
      </c>
      <c r="H63" s="342">
        <f t="shared" si="7"/>
        <v>9232000.6169982888</v>
      </c>
      <c r="I63" s="342">
        <f t="shared" si="7"/>
        <v>10483128.726915348</v>
      </c>
    </row>
    <row r="64" spans="2:10" x14ac:dyDescent="0.2">
      <c r="B64" s="93"/>
      <c r="C64" s="93"/>
      <c r="D64" s="93"/>
      <c r="E64" s="93"/>
      <c r="F64" s="93"/>
      <c r="G64" s="93"/>
      <c r="H64" s="93"/>
      <c r="I64" s="93"/>
    </row>
    <row r="65" spans="2:10" x14ac:dyDescent="0.2">
      <c r="B65" s="184" t="s">
        <v>42</v>
      </c>
      <c r="C65" s="94">
        <f>1/1.1</f>
        <v>0.90909090909090906</v>
      </c>
      <c r="D65" s="94">
        <f t="shared" ref="D65:I65" si="8">C65/1.1</f>
        <v>0.82644628099173545</v>
      </c>
      <c r="E65" s="94">
        <f t="shared" si="8"/>
        <v>0.75131480090157765</v>
      </c>
      <c r="F65" s="94">
        <f t="shared" si="8"/>
        <v>0.68301345536507052</v>
      </c>
      <c r="G65" s="94">
        <f t="shared" si="8"/>
        <v>0.62092132305915493</v>
      </c>
      <c r="H65" s="94">
        <f t="shared" si="8"/>
        <v>0.56447393005377711</v>
      </c>
      <c r="I65" s="94">
        <f t="shared" si="8"/>
        <v>0.51315811823070645</v>
      </c>
    </row>
    <row r="66" spans="2:10" x14ac:dyDescent="0.2">
      <c r="B66" s="93"/>
      <c r="C66" s="93"/>
      <c r="D66" s="93"/>
      <c r="E66" s="93"/>
      <c r="F66" s="93"/>
      <c r="G66" s="93"/>
      <c r="H66" s="93"/>
      <c r="I66" s="93"/>
    </row>
    <row r="67" spans="2:10" x14ac:dyDescent="0.2">
      <c r="B67" s="184" t="s">
        <v>43</v>
      </c>
      <c r="C67" s="95">
        <f>C63*C65</f>
        <v>3410833.495152093</v>
      </c>
      <c r="D67" s="95">
        <f t="shared" ref="D67:I67" si="9">D63*D65</f>
        <v>3856484.5121223507</v>
      </c>
      <c r="E67" s="95">
        <f t="shared" si="9"/>
        <v>4244647.5245022262</v>
      </c>
      <c r="F67" s="95">
        <f t="shared" si="9"/>
        <v>4616666.0728453752</v>
      </c>
      <c r="G67" s="95">
        <f t="shared" si="9"/>
        <v>4964065.7745050928</v>
      </c>
      <c r="H67" s="95">
        <f t="shared" si="9"/>
        <v>5211223.6705359193</v>
      </c>
      <c r="I67" s="95">
        <f t="shared" si="9"/>
        <v>5379502.6106741419</v>
      </c>
    </row>
    <row r="68" spans="2:10" x14ac:dyDescent="0.2">
      <c r="C68" s="197"/>
      <c r="D68" s="197"/>
      <c r="E68" s="197"/>
      <c r="F68" s="197"/>
      <c r="G68" s="197"/>
      <c r="H68" s="197"/>
      <c r="I68" s="197"/>
    </row>
    <row r="69" spans="2:10" x14ac:dyDescent="0.2">
      <c r="B69" s="174" t="s">
        <v>44</v>
      </c>
      <c r="C69" s="197">
        <f>SUM(C67:I67)</f>
        <v>31683423.660337199</v>
      </c>
      <c r="D69" s="197"/>
      <c r="E69" s="197"/>
      <c r="F69" s="197"/>
      <c r="G69" s="197"/>
      <c r="H69" s="197"/>
      <c r="I69" s="197"/>
    </row>
    <row r="70" spans="2:10" x14ac:dyDescent="0.2">
      <c r="C70" s="197"/>
      <c r="D70" s="197"/>
      <c r="E70" s="197"/>
      <c r="F70" s="197"/>
      <c r="G70" s="197"/>
      <c r="H70" s="197"/>
      <c r="I70" s="197"/>
    </row>
    <row r="71" spans="2:10" x14ac:dyDescent="0.2">
      <c r="B71" s="174" t="s">
        <v>45</v>
      </c>
      <c r="C71" s="197">
        <f>-C15</f>
        <v>30753483.93405411</v>
      </c>
      <c r="D71" s="197"/>
      <c r="E71" s="197"/>
      <c r="F71" s="197"/>
      <c r="G71" s="197"/>
      <c r="H71" s="197"/>
      <c r="I71" s="197"/>
    </row>
    <row r="72" spans="2:10" x14ac:dyDescent="0.2">
      <c r="C72" s="343"/>
    </row>
    <row r="73" spans="2:10" x14ac:dyDescent="0.2">
      <c r="B73" s="174" t="s">
        <v>46</v>
      </c>
      <c r="C73" s="343">
        <f>C69-C71</f>
        <v>929939.72628308833</v>
      </c>
    </row>
    <row r="75" spans="2:10" ht="35.1" customHeight="1" x14ac:dyDescent="0.2">
      <c r="B75" s="449" t="s">
        <v>414</v>
      </c>
      <c r="C75" s="449"/>
      <c r="D75" s="449"/>
      <c r="E75" s="449"/>
      <c r="F75" s="449"/>
      <c r="G75" s="449"/>
      <c r="H75" s="449"/>
      <c r="I75" s="449"/>
      <c r="J75" s="449"/>
    </row>
    <row r="76" spans="2:10" ht="18.75" x14ac:dyDescent="0.25">
      <c r="B76" s="427" t="s">
        <v>559</v>
      </c>
      <c r="C76" s="427"/>
      <c r="D76" s="427"/>
      <c r="E76" s="427"/>
      <c r="F76" s="427"/>
      <c r="G76" s="427"/>
      <c r="H76" s="427"/>
      <c r="I76" s="427"/>
    </row>
    <row r="78" spans="2:10" ht="15.75" x14ac:dyDescent="0.2">
      <c r="B78" s="344" t="s">
        <v>0</v>
      </c>
      <c r="C78" s="344" t="s">
        <v>2</v>
      </c>
      <c r="D78" s="344" t="s">
        <v>3</v>
      </c>
      <c r="E78" s="344" t="s">
        <v>4</v>
      </c>
      <c r="F78" s="344" t="s">
        <v>5</v>
      </c>
      <c r="G78" s="344" t="s">
        <v>6</v>
      </c>
      <c r="H78" s="344" t="s">
        <v>168</v>
      </c>
      <c r="I78" s="344" t="s">
        <v>167</v>
      </c>
    </row>
    <row r="79" spans="2:10" ht="15.75" x14ac:dyDescent="0.2">
      <c r="B79" s="345"/>
      <c r="C79" s="346"/>
      <c r="D79" s="346"/>
      <c r="E79" s="346"/>
      <c r="F79" s="346"/>
      <c r="G79" s="346"/>
      <c r="H79" s="346"/>
      <c r="I79" s="346"/>
    </row>
    <row r="80" spans="2:10" x14ac:dyDescent="0.2">
      <c r="B80" s="93" t="s">
        <v>27</v>
      </c>
      <c r="C80" s="95">
        <f>'6.Cons Profit &amp; Loss'!B51</f>
        <v>2312049.6536333025</v>
      </c>
      <c r="D80" s="95">
        <f>'6.Cons Profit &amp; Loss'!C51</f>
        <v>3226479.0686340444</v>
      </c>
      <c r="E80" s="95">
        <f>'6.Cons Profit &amp; Loss'!D51</f>
        <v>4209758.6640784638</v>
      </c>
      <c r="F80" s="95">
        <f>'6.Cons Profit &amp; Loss'!E51</f>
        <v>5319393.6062189154</v>
      </c>
      <c r="G80" s="95">
        <f>'6.Cons Profit &amp; Loss'!F51</f>
        <v>6554810.3794641998</v>
      </c>
      <c r="H80" s="95">
        <f>'6.Cons Profit &amp; Loss'!G51</f>
        <v>7874443.4259642893</v>
      </c>
      <c r="I80" s="95">
        <f>'6.Cons Profit &amp; Loss'!H51</f>
        <v>9125571.535881348</v>
      </c>
    </row>
    <row r="81" spans="2:10" x14ac:dyDescent="0.2">
      <c r="B81" s="93"/>
      <c r="C81" s="93"/>
      <c r="D81" s="93"/>
      <c r="E81" s="93"/>
      <c r="F81" s="93"/>
      <c r="G81" s="93"/>
      <c r="H81" s="93"/>
      <c r="I81" s="93"/>
    </row>
    <row r="82" spans="2:10" x14ac:dyDescent="0.2">
      <c r="B82" s="93" t="s">
        <v>123</v>
      </c>
      <c r="C82" s="472">
        <f>AVERAGE(C80:I80)</f>
        <v>5517500.9048392233</v>
      </c>
      <c r="D82" s="472"/>
      <c r="E82" s="472"/>
      <c r="F82" s="472"/>
      <c r="G82" s="472"/>
      <c r="H82" s="472"/>
      <c r="I82" s="472"/>
    </row>
    <row r="83" spans="2:10" x14ac:dyDescent="0.2">
      <c r="B83" s="93" t="s">
        <v>124</v>
      </c>
      <c r="C83" s="472">
        <f>-C15</f>
        <v>30753483.93405411</v>
      </c>
      <c r="D83" s="472"/>
      <c r="E83" s="472"/>
      <c r="F83" s="472"/>
      <c r="G83" s="472"/>
      <c r="H83" s="472"/>
      <c r="I83" s="472"/>
    </row>
    <row r="84" spans="2:10" x14ac:dyDescent="0.2">
      <c r="B84" s="93"/>
      <c r="C84" s="93"/>
      <c r="D84" s="93"/>
      <c r="E84" s="93"/>
      <c r="F84" s="93"/>
      <c r="G84" s="93"/>
      <c r="H84" s="93"/>
      <c r="I84" s="93"/>
    </row>
    <row r="85" spans="2:10" x14ac:dyDescent="0.2">
      <c r="B85" s="347" t="s">
        <v>125</v>
      </c>
      <c r="C85" s="348">
        <f>C82/C83</f>
        <v>0.1794105967528952</v>
      </c>
      <c r="D85" s="348"/>
      <c r="E85" s="348"/>
      <c r="F85" s="348"/>
      <c r="G85" s="348"/>
      <c r="H85" s="348"/>
      <c r="I85" s="348"/>
    </row>
    <row r="88" spans="2:10" x14ac:dyDescent="0.2">
      <c r="B88" s="471" t="s">
        <v>415</v>
      </c>
      <c r="C88" s="471"/>
      <c r="D88" s="471"/>
      <c r="E88" s="471"/>
      <c r="F88" s="471"/>
      <c r="G88" s="471"/>
      <c r="H88" s="471"/>
      <c r="I88" s="471"/>
    </row>
    <row r="90" spans="2:10" ht="18.75" x14ac:dyDescent="0.25">
      <c r="B90" s="427" t="s">
        <v>560</v>
      </c>
      <c r="C90" s="427"/>
      <c r="D90" s="427"/>
      <c r="E90" s="427"/>
      <c r="F90" s="427"/>
      <c r="G90" s="427"/>
      <c r="H90" s="427"/>
      <c r="I90" s="427"/>
      <c r="J90" s="427"/>
    </row>
    <row r="92" spans="2:10" x14ac:dyDescent="0.2">
      <c r="B92" s="339" t="s">
        <v>0</v>
      </c>
      <c r="C92" s="339" t="s">
        <v>328</v>
      </c>
      <c r="D92" s="339" t="s">
        <v>2</v>
      </c>
      <c r="E92" s="339" t="s">
        <v>3</v>
      </c>
      <c r="F92" s="339" t="s">
        <v>4</v>
      </c>
      <c r="G92" s="339" t="s">
        <v>5</v>
      </c>
      <c r="H92" s="339" t="s">
        <v>6</v>
      </c>
      <c r="I92" s="339" t="s">
        <v>168</v>
      </c>
      <c r="J92" s="339" t="s">
        <v>167</v>
      </c>
    </row>
    <row r="93" spans="2:10" x14ac:dyDescent="0.2">
      <c r="B93" s="349"/>
      <c r="C93" s="349"/>
      <c r="D93" s="350"/>
      <c r="E93" s="350"/>
      <c r="F93" s="350"/>
      <c r="G93" s="350"/>
      <c r="H93" s="350"/>
      <c r="I93" s="350"/>
      <c r="J93" s="350"/>
    </row>
    <row r="94" spans="2:10" x14ac:dyDescent="0.2">
      <c r="B94" s="93" t="s">
        <v>278</v>
      </c>
      <c r="C94" s="351">
        <f>C83</f>
        <v>30753483.93405411</v>
      </c>
      <c r="D94" s="350"/>
      <c r="E94" s="350"/>
      <c r="F94" s="350"/>
      <c r="G94" s="350"/>
      <c r="H94" s="350"/>
      <c r="I94" s="350"/>
      <c r="J94" s="350"/>
    </row>
    <row r="95" spans="2:10" x14ac:dyDescent="0.2">
      <c r="B95" s="93" t="str">
        <f>B58</f>
        <v>Profit after Tax &amp; Dividend</v>
      </c>
      <c r="C95" s="93"/>
      <c r="D95" s="95">
        <f>'6.Cons Profit &amp; Loss'!B51</f>
        <v>2312049.6536333025</v>
      </c>
      <c r="E95" s="95">
        <f>'6.Cons Profit &amp; Loss'!C51</f>
        <v>3226479.0686340444</v>
      </c>
      <c r="F95" s="95">
        <f>'6.Cons Profit &amp; Loss'!D51</f>
        <v>4209758.6640784638</v>
      </c>
      <c r="G95" s="95">
        <f>'6.Cons Profit &amp; Loss'!E51</f>
        <v>5319393.6062189154</v>
      </c>
      <c r="H95" s="95">
        <f>'6.Cons Profit &amp; Loss'!F51</f>
        <v>6554810.3794641998</v>
      </c>
      <c r="I95" s="95">
        <f>'6.Cons Profit &amp; Loss'!G51</f>
        <v>7874443.4259642893</v>
      </c>
      <c r="J95" s="95">
        <f>'6.Cons Profit &amp; Loss'!H51</f>
        <v>9125571.535881348</v>
      </c>
    </row>
    <row r="96" spans="2:10" x14ac:dyDescent="0.2">
      <c r="B96" s="93" t="str">
        <f>B60</f>
        <v>Add: Deprication</v>
      </c>
      <c r="C96" s="93"/>
      <c r="D96" s="352">
        <f>'6.Cons Profit &amp; Loss'!B42</f>
        <v>1357557.1910339999</v>
      </c>
      <c r="E96" s="352">
        <f>'6.Cons Profit &amp; Loss'!C42</f>
        <v>1357557.1910339999</v>
      </c>
      <c r="F96" s="352">
        <f>'6.Cons Profit &amp; Loss'!D42</f>
        <v>1357557.1910339999</v>
      </c>
      <c r="G96" s="352">
        <f>'6.Cons Profit &amp; Loss'!E42</f>
        <v>1357557.1910339999</v>
      </c>
      <c r="H96" s="352">
        <f>'6.Cons Profit &amp; Loss'!F42</f>
        <v>1357557.1910339999</v>
      </c>
      <c r="I96" s="352">
        <f>'6.Cons Profit &amp; Loss'!G42</f>
        <v>1357557.1910339999</v>
      </c>
      <c r="J96" s="352">
        <f>'6.Cons Profit &amp; Loss'!H42</f>
        <v>1357557.1910339999</v>
      </c>
    </row>
    <row r="97" spans="2:10" x14ac:dyDescent="0.2">
      <c r="B97" s="93" t="str">
        <f>B61</f>
        <v>Add. Preliminary exp Written off</v>
      </c>
      <c r="C97" s="93"/>
      <c r="D97" s="352">
        <f>'6.Cons Profit &amp; Loss'!B43</f>
        <v>82310</v>
      </c>
      <c r="E97" s="352">
        <f>'6.Cons Profit &amp; Loss'!C43</f>
        <v>82310</v>
      </c>
      <c r="F97" s="352">
        <f>'6.Cons Profit &amp; Loss'!D43</f>
        <v>82310</v>
      </c>
      <c r="G97" s="352">
        <f>'6.Cons Profit &amp; Loss'!E43</f>
        <v>82310</v>
      </c>
      <c r="H97" s="352">
        <f>'6.Cons Profit &amp; Loss'!F43</f>
        <v>82310</v>
      </c>
      <c r="I97" s="352">
        <f>'6.Cons Profit &amp; Loss'!G43</f>
        <v>0</v>
      </c>
      <c r="J97" s="352">
        <f>'6.Cons Profit &amp; Loss'!H43</f>
        <v>0</v>
      </c>
    </row>
    <row r="98" spans="2:10" x14ac:dyDescent="0.2">
      <c r="B98" s="93" t="str">
        <f>B63</f>
        <v xml:space="preserve">Net Cash Accrual (A)      </v>
      </c>
      <c r="C98" s="93"/>
      <c r="D98" s="145">
        <f>SUM(D95:D97)</f>
        <v>3751916.8446673024</v>
      </c>
      <c r="E98" s="145">
        <f t="shared" ref="E98:J98" si="10">SUM(E95:E97)</f>
        <v>4666346.2596680447</v>
      </c>
      <c r="F98" s="145">
        <f t="shared" si="10"/>
        <v>5649625.8551124632</v>
      </c>
      <c r="G98" s="145">
        <f t="shared" si="10"/>
        <v>6759260.7972529158</v>
      </c>
      <c r="H98" s="145">
        <f t="shared" si="10"/>
        <v>7994677.5704982001</v>
      </c>
      <c r="I98" s="145">
        <f t="shared" si="10"/>
        <v>9232000.6169982888</v>
      </c>
      <c r="J98" s="145">
        <f t="shared" si="10"/>
        <v>10483128.726915348</v>
      </c>
    </row>
    <row r="99" spans="2:10" x14ac:dyDescent="0.2">
      <c r="B99" s="93" t="s">
        <v>279</v>
      </c>
      <c r="C99" s="353"/>
      <c r="D99" s="354">
        <f>D98-C94</f>
        <v>-27001567.089386806</v>
      </c>
      <c r="E99" s="354">
        <f>D99+E98</f>
        <v>-22335220.829718761</v>
      </c>
      <c r="F99" s="354">
        <f>E99+F98</f>
        <v>-16685594.974606298</v>
      </c>
      <c r="G99" s="354">
        <f>F99+G98</f>
        <v>-9926334.1773533821</v>
      </c>
      <c r="H99" s="354">
        <f>G99+H98</f>
        <v>-1931656.606855182</v>
      </c>
      <c r="I99" s="354">
        <f t="shared" ref="I99:J99" si="11">H99+I98</f>
        <v>7300344.0101431068</v>
      </c>
      <c r="J99" s="354">
        <f t="shared" si="11"/>
        <v>17783472.737058453</v>
      </c>
    </row>
    <row r="101" spans="2:10" x14ac:dyDescent="0.2">
      <c r="B101" s="151" t="s">
        <v>280</v>
      </c>
      <c r="D101" s="355">
        <f>4+(-G99/H98)</f>
        <v>5.2416178250869478</v>
      </c>
    </row>
    <row r="103" spans="2:10" x14ac:dyDescent="0.2">
      <c r="B103" s="471" t="s">
        <v>416</v>
      </c>
      <c r="C103" s="471"/>
      <c r="D103" s="471"/>
      <c r="E103" s="471"/>
      <c r="F103" s="471"/>
      <c r="G103" s="471"/>
      <c r="H103" s="471"/>
      <c r="I103" s="471"/>
      <c r="J103" s="471"/>
    </row>
    <row r="105" spans="2:10" ht="18.75" x14ac:dyDescent="0.25">
      <c r="B105" s="427" t="s">
        <v>561</v>
      </c>
      <c r="C105" s="427"/>
      <c r="D105" s="427"/>
      <c r="E105" s="427"/>
      <c r="F105" s="427"/>
      <c r="G105" s="427"/>
      <c r="H105" s="427"/>
      <c r="I105" s="427"/>
    </row>
    <row r="107" spans="2:10" ht="15.75" x14ac:dyDescent="0.2">
      <c r="B107" s="344" t="s">
        <v>0</v>
      </c>
      <c r="C107" s="344" t="s">
        <v>2</v>
      </c>
      <c r="D107" s="344" t="s">
        <v>3</v>
      </c>
      <c r="E107" s="344" t="s">
        <v>4</v>
      </c>
      <c r="F107" s="344" t="s">
        <v>5</v>
      </c>
      <c r="G107" s="344" t="s">
        <v>6</v>
      </c>
      <c r="H107" s="344" t="s">
        <v>168</v>
      </c>
      <c r="I107" s="344" t="s">
        <v>167</v>
      </c>
    </row>
    <row r="108" spans="2:10" ht="15.75" x14ac:dyDescent="0.2">
      <c r="B108" s="345"/>
      <c r="C108" s="346"/>
      <c r="D108" s="346"/>
      <c r="E108" s="346"/>
      <c r="F108" s="346"/>
      <c r="G108" s="346"/>
      <c r="H108" s="346"/>
      <c r="I108" s="346"/>
    </row>
    <row r="109" spans="2:10" x14ac:dyDescent="0.2">
      <c r="B109" s="93" t="s">
        <v>331</v>
      </c>
      <c r="C109" s="95">
        <f>'6.Cons Profit &amp; Loss'!B40</f>
        <v>5118698.151000008</v>
      </c>
      <c r="D109" s="95">
        <f>'6.Cons Profit &amp; Loss'!C40</f>
        <v>6533499.8135500029</v>
      </c>
      <c r="E109" s="95">
        <f>'6.Cons Profit &amp; Loss'!D40</f>
        <v>7875717.2020274997</v>
      </c>
      <c r="F109" s="95">
        <f>'6.Cons Profit &amp; Loss'!E40</f>
        <v>9335822.579818882</v>
      </c>
      <c r="G109" s="95">
        <f>'6.Cons Profit &amp; Loss'!F40</f>
        <v>10922249.202384308</v>
      </c>
      <c r="H109" s="95">
        <f>'6.Cons Profit &amp; Loss'!G40</f>
        <v>12643978.930756778</v>
      </c>
      <c r="I109" s="95">
        <f>'6.Cons Profit &amp; Loss'!H40</f>
        <v>14510576.008960485</v>
      </c>
    </row>
    <row r="110" spans="2:10" hidden="1" x14ac:dyDescent="0.2">
      <c r="B110" s="93" t="s">
        <v>341</v>
      </c>
      <c r="C110" s="95"/>
      <c r="D110" s="95"/>
      <c r="E110" s="95"/>
      <c r="F110" s="95"/>
      <c r="G110" s="95"/>
      <c r="H110" s="95"/>
      <c r="I110" s="95"/>
    </row>
    <row r="111" spans="2:10" hidden="1" x14ac:dyDescent="0.2">
      <c r="B111" s="93" t="s">
        <v>342</v>
      </c>
      <c r="C111" s="95"/>
      <c r="D111" s="95"/>
      <c r="E111" s="95"/>
      <c r="F111" s="95"/>
      <c r="G111" s="95"/>
      <c r="H111" s="95"/>
      <c r="I111" s="95"/>
    </row>
    <row r="112" spans="2:10" hidden="1" x14ac:dyDescent="0.2">
      <c r="B112" s="93" t="s">
        <v>343</v>
      </c>
      <c r="C112" s="95"/>
      <c r="D112" s="95"/>
      <c r="E112" s="95"/>
      <c r="F112" s="95"/>
      <c r="G112" s="95"/>
      <c r="H112" s="95"/>
      <c r="I112" s="95"/>
    </row>
    <row r="113" spans="2:18" x14ac:dyDescent="0.2">
      <c r="B113" s="98" t="s">
        <v>1</v>
      </c>
      <c r="C113" s="356">
        <f>SUM(C109:C112)</f>
        <v>5118698.151000008</v>
      </c>
      <c r="D113" s="356">
        <f t="shared" ref="D113:I113" si="12">SUM(D109:D112)</f>
        <v>6533499.8135500029</v>
      </c>
      <c r="E113" s="356">
        <f t="shared" si="12"/>
        <v>7875717.2020274997</v>
      </c>
      <c r="F113" s="356">
        <f t="shared" si="12"/>
        <v>9335822.579818882</v>
      </c>
      <c r="G113" s="356">
        <f t="shared" si="12"/>
        <v>10922249.202384308</v>
      </c>
      <c r="H113" s="356">
        <f t="shared" si="12"/>
        <v>12643978.930756778</v>
      </c>
      <c r="I113" s="356">
        <f t="shared" si="12"/>
        <v>14510576.008960485</v>
      </c>
    </row>
    <row r="114" spans="2:18" x14ac:dyDescent="0.2">
      <c r="B114" s="93"/>
      <c r="C114" s="93"/>
      <c r="D114" s="93"/>
      <c r="E114" s="93"/>
      <c r="F114" s="93"/>
      <c r="G114" s="93"/>
      <c r="H114" s="93"/>
      <c r="I114" s="93"/>
    </row>
    <row r="115" spans="2:18" x14ac:dyDescent="0.2">
      <c r="B115" s="93" t="s">
        <v>281</v>
      </c>
      <c r="C115" s="354">
        <f>'8.Cash Flow '!C26+'8.Cash Flow '!C27</f>
        <v>1832492.043196504</v>
      </c>
      <c r="D115" s="354">
        <f>'8.Cash Flow '!D26+'8.Cash Flow '!D27</f>
        <v>2588838.5047866083</v>
      </c>
      <c r="E115" s="354">
        <f>'8.Cash Flow '!E26+'8.Cash Flow '!E27</f>
        <v>2588838.5047866078</v>
      </c>
      <c r="F115" s="354">
        <f>'8.Cash Flow '!F26+'8.Cash Flow '!F27</f>
        <v>2588838.5047866087</v>
      </c>
      <c r="G115" s="354">
        <f>'8.Cash Flow '!G26+'8.Cash Flow '!G27</f>
        <v>2588838.5047866083</v>
      </c>
      <c r="H115" s="354">
        <f>'8.Cash Flow '!H26+'8.Cash Flow '!H27</f>
        <v>0</v>
      </c>
      <c r="I115" s="354">
        <f>'8.Cash Flow '!I26+'8.Cash Flow '!I27</f>
        <v>0</v>
      </c>
    </row>
    <row r="116" spans="2:18" x14ac:dyDescent="0.2">
      <c r="B116" s="93"/>
      <c r="C116" s="93"/>
      <c r="D116" s="93"/>
      <c r="E116" s="93"/>
      <c r="F116" s="93"/>
      <c r="G116" s="93"/>
      <c r="H116" s="93"/>
      <c r="I116" s="93"/>
    </row>
    <row r="117" spans="2:18" x14ac:dyDescent="0.2">
      <c r="B117" s="98" t="s">
        <v>329</v>
      </c>
      <c r="C117" s="102">
        <f>C113/C115</f>
        <v>2.7932989777522943</v>
      </c>
      <c r="D117" s="102">
        <f t="shared" ref="D117:G117" si="13">D113/D115</f>
        <v>2.5237185716567296</v>
      </c>
      <c r="E117" s="102">
        <f t="shared" si="13"/>
        <v>3.0421817303264644</v>
      </c>
      <c r="F117" s="102">
        <f t="shared" si="13"/>
        <v>3.6061819084340332</v>
      </c>
      <c r="G117" s="102">
        <f t="shared" si="13"/>
        <v>4.2189766500265344</v>
      </c>
      <c r="H117" s="102"/>
      <c r="I117" s="102"/>
    </row>
    <row r="119" spans="2:18" x14ac:dyDescent="0.2">
      <c r="B119" s="92" t="s">
        <v>330</v>
      </c>
      <c r="C119" s="101">
        <f>AVERAGE(C117:I117)</f>
        <v>3.2368715676392115</v>
      </c>
    </row>
    <row r="121" spans="2:18" ht="29.45" customHeight="1" x14ac:dyDescent="0.2">
      <c r="B121" s="449" t="s">
        <v>417</v>
      </c>
      <c r="C121" s="449"/>
      <c r="D121" s="449"/>
      <c r="E121" s="449"/>
      <c r="F121" s="449"/>
      <c r="G121" s="449"/>
      <c r="H121" s="449"/>
      <c r="I121" s="449"/>
      <c r="J121" s="449"/>
    </row>
    <row r="123" spans="2:18" ht="21" x14ac:dyDescent="0.3">
      <c r="B123" s="466" t="s">
        <v>562</v>
      </c>
      <c r="C123" s="467"/>
      <c r="D123" s="467"/>
      <c r="E123" s="467"/>
      <c r="F123" s="467"/>
      <c r="G123" s="467"/>
      <c r="H123" s="467"/>
      <c r="I123" s="467"/>
      <c r="K123" s="468"/>
      <c r="L123" s="468"/>
      <c r="M123" s="468"/>
      <c r="N123" s="468"/>
      <c r="O123" s="468"/>
      <c r="P123" s="468"/>
      <c r="Q123" s="468"/>
      <c r="R123" s="468"/>
    </row>
    <row r="124" spans="2:18" x14ac:dyDescent="0.2">
      <c r="B124" s="123" t="s">
        <v>344</v>
      </c>
      <c r="C124" s="139" t="s">
        <v>2</v>
      </c>
      <c r="D124" s="139" t="s">
        <v>3</v>
      </c>
      <c r="E124" s="139" t="s">
        <v>4</v>
      </c>
      <c r="F124" s="139" t="s">
        <v>5</v>
      </c>
      <c r="G124" s="139" t="s">
        <v>6</v>
      </c>
      <c r="H124" s="139" t="s">
        <v>168</v>
      </c>
      <c r="I124" s="139" t="s">
        <v>167</v>
      </c>
    </row>
    <row r="125" spans="2:18" x14ac:dyDescent="0.2">
      <c r="B125" s="189" t="str">
        <f>'6.Cons Profit &amp; Loss'!A8</f>
        <v>Activity 1 - Fruit Processing Unit</v>
      </c>
      <c r="C125" s="357">
        <f>'6.Cons Profit &amp; Loss'!B8*(1+$M$126)</f>
        <v>43619310</v>
      </c>
      <c r="D125" s="357">
        <f>'6.Cons Profit &amp; Loss'!C8*(1+$M$126)</f>
        <v>51315002.550000004</v>
      </c>
      <c r="E125" s="357">
        <f>'6.Cons Profit &amp; Loss'!D8*(1+$M$126)</f>
        <v>58787925.052500017</v>
      </c>
      <c r="F125" s="357">
        <f>'6.Cons Profit &amp; Loss'!E8*(1+$M$126)</f>
        <v>66879852.298875026</v>
      </c>
      <c r="G125" s="357">
        <f>'6.Cons Profit &amp; Loss'!F8*(1+$M$126)</f>
        <v>75634002.457256272</v>
      </c>
      <c r="H125" s="357">
        <f>'6.Cons Profit &amp; Loss'!G8*(1+$M$126)</f>
        <v>85096368.000728488</v>
      </c>
      <c r="I125" s="357">
        <f>'6.Cons Profit &amp; Loss'!H8*(1+$M$126)</f>
        <v>95315885.092404768</v>
      </c>
    </row>
    <row r="126" spans="2:18" hidden="1" x14ac:dyDescent="0.2">
      <c r="B126" s="189" t="str">
        <f>'6.Cons Profit &amp; Loss'!A9</f>
        <v>Activity 2 - Cold Press Oil</v>
      </c>
      <c r="C126" s="357">
        <f>'6.Cons Profit &amp; Loss'!B9*(1+$M$126)</f>
        <v>0</v>
      </c>
      <c r="D126" s="357">
        <f>'6.Cons Profit &amp; Loss'!C9*(1+$M$126)</f>
        <v>0</v>
      </c>
      <c r="E126" s="357">
        <f>'6.Cons Profit &amp; Loss'!D9*(1+$M$126)</f>
        <v>0</v>
      </c>
      <c r="F126" s="357">
        <f>'6.Cons Profit &amp; Loss'!E9*(1+$M$126)</f>
        <v>0</v>
      </c>
      <c r="G126" s="357">
        <f>'6.Cons Profit &amp; Loss'!F9*(1+$M$126)</f>
        <v>0</v>
      </c>
      <c r="H126" s="357">
        <f>'6.Cons Profit &amp; Loss'!G9*(1+$M$126)</f>
        <v>0</v>
      </c>
      <c r="I126" s="357">
        <f>'6.Cons Profit &amp; Loss'!H9*(1+$M$126)</f>
        <v>0</v>
      </c>
      <c r="L126" s="151" t="s">
        <v>363</v>
      </c>
      <c r="M126" s="358">
        <v>0.05</v>
      </c>
    </row>
    <row r="127" spans="2:18" hidden="1" x14ac:dyDescent="0.2">
      <c r="B127" s="189" t="str">
        <f>'6.Cons Profit &amp; Loss'!A10</f>
        <v>Faclitiy 3 - Warehouse</v>
      </c>
      <c r="C127" s="357">
        <f>'6.Cons Profit &amp; Loss'!B10*(1+$M$126)</f>
        <v>0</v>
      </c>
      <c r="D127" s="357">
        <f>'6.Cons Profit &amp; Loss'!C10*(1+$M$126)</f>
        <v>0</v>
      </c>
      <c r="E127" s="357">
        <f>'6.Cons Profit &amp; Loss'!D10*(1+$M$126)</f>
        <v>0</v>
      </c>
      <c r="F127" s="357">
        <f>'6.Cons Profit &amp; Loss'!E10*(1+$M$126)</f>
        <v>0</v>
      </c>
      <c r="G127" s="357">
        <f>'6.Cons Profit &amp; Loss'!F10*(1+$M$126)</f>
        <v>0</v>
      </c>
      <c r="H127" s="357">
        <f>'6.Cons Profit &amp; Loss'!G10*(1+$M$126)</f>
        <v>0</v>
      </c>
      <c r="I127" s="357">
        <f>'6.Cons Profit &amp; Loss'!H10*(1+$M$126)</f>
        <v>0</v>
      </c>
      <c r="L127" s="151" t="s">
        <v>364</v>
      </c>
      <c r="M127" s="358">
        <v>0.05</v>
      </c>
    </row>
    <row r="128" spans="2:18" hidden="1" x14ac:dyDescent="0.2">
      <c r="B128" s="189" t="str">
        <f>'6.Cons Profit &amp; Loss'!A11</f>
        <v xml:space="preserve">Faclitiy 4 - Custom Hiring </v>
      </c>
      <c r="C128" s="357">
        <f>'6.Cons Profit &amp; Loss'!B11*(1+$M$126)</f>
        <v>0</v>
      </c>
      <c r="D128" s="357">
        <f>'6.Cons Profit &amp; Loss'!C11*(1+$M$126)</f>
        <v>0</v>
      </c>
      <c r="E128" s="357">
        <f>'6.Cons Profit &amp; Loss'!D11*(1+$M$126)</f>
        <v>0</v>
      </c>
      <c r="F128" s="357">
        <f>'6.Cons Profit &amp; Loss'!E11*(1+$M$126)</f>
        <v>0</v>
      </c>
      <c r="G128" s="357">
        <f>'6.Cons Profit &amp; Loss'!F11*(1+$M$126)</f>
        <v>0</v>
      </c>
      <c r="H128" s="357">
        <f>'6.Cons Profit &amp; Loss'!G11*(1+$M$126)</f>
        <v>0</v>
      </c>
      <c r="I128" s="357">
        <f>'6.Cons Profit &amp; Loss'!H11*(1+$M$126)</f>
        <v>0</v>
      </c>
    </row>
    <row r="129" spans="2:11" hidden="1" x14ac:dyDescent="0.2">
      <c r="B129" s="189" t="str">
        <f>'6.Cons Profit &amp; Loss'!A12</f>
        <v>Faclitiy 5 - Agri Input Centre</v>
      </c>
      <c r="C129" s="357">
        <f>'6.Cons Profit &amp; Loss'!B12*(1+$M$126)</f>
        <v>0</v>
      </c>
      <c r="D129" s="357">
        <f>'6.Cons Profit &amp; Loss'!C12*(1+$M$126)</f>
        <v>0</v>
      </c>
      <c r="E129" s="357">
        <f>'6.Cons Profit &amp; Loss'!D12*(1+$M$126)</f>
        <v>0</v>
      </c>
      <c r="F129" s="357">
        <f>'6.Cons Profit &amp; Loss'!E12*(1+$M$126)</f>
        <v>0</v>
      </c>
      <c r="G129" s="357">
        <f>'6.Cons Profit &amp; Loss'!F12*(1+$M$126)</f>
        <v>0</v>
      </c>
      <c r="H129" s="357">
        <f>'6.Cons Profit &amp; Loss'!G12*(1+$M$126)</f>
        <v>0</v>
      </c>
      <c r="I129" s="357">
        <f>'6.Cons Profit &amp; Loss'!H12*(1+$M$126)</f>
        <v>0</v>
      </c>
      <c r="K129" s="138"/>
    </row>
    <row r="130" spans="2:11" hidden="1" x14ac:dyDescent="0.2">
      <c r="B130" s="189" t="str">
        <f>'6.Cons Profit &amp; Loss'!A13</f>
        <v>Facility 6 - Processing Unit - Horti Commodity</v>
      </c>
      <c r="C130" s="357">
        <f>'6.Cons Profit &amp; Loss'!B13*(1+$M$126)</f>
        <v>0</v>
      </c>
      <c r="D130" s="357">
        <f>'6.Cons Profit &amp; Loss'!C13*(1+$M$126)</f>
        <v>0</v>
      </c>
      <c r="E130" s="357">
        <f>'6.Cons Profit &amp; Loss'!D13*(1+$M$126)</f>
        <v>0</v>
      </c>
      <c r="F130" s="357">
        <f>'6.Cons Profit &amp; Loss'!E13*(1+$M$126)</f>
        <v>0</v>
      </c>
      <c r="G130" s="357">
        <f>'6.Cons Profit &amp; Loss'!F13*(1+$M$126)</f>
        <v>0</v>
      </c>
      <c r="H130" s="357">
        <f>'6.Cons Profit &amp; Loss'!G13*(1+$M$126)</f>
        <v>0</v>
      </c>
      <c r="I130" s="357">
        <f>'6.Cons Profit &amp; Loss'!H13*(1+$M$126)</f>
        <v>0</v>
      </c>
    </row>
    <row r="131" spans="2:11" x14ac:dyDescent="0.2">
      <c r="B131" s="189">
        <f>'6.Cons Profit &amp; Loss'!A14</f>
        <v>0</v>
      </c>
      <c r="C131" s="357">
        <f>'6.Cons Profit &amp; Loss'!B14*(1+$M$126)</f>
        <v>0</v>
      </c>
      <c r="D131" s="357">
        <f>'6.Cons Profit &amp; Loss'!C14*(1+$M$126)</f>
        <v>0</v>
      </c>
      <c r="E131" s="357">
        <f>'6.Cons Profit &amp; Loss'!D14*(1+$M$126)</f>
        <v>0</v>
      </c>
      <c r="F131" s="357">
        <f>'6.Cons Profit &amp; Loss'!E14*(1+$M$126)</f>
        <v>0</v>
      </c>
      <c r="G131" s="357">
        <f>'6.Cons Profit &amp; Loss'!F14*(1+$M$126)</f>
        <v>0</v>
      </c>
      <c r="H131" s="357">
        <f>'6.Cons Profit &amp; Loss'!G14*(1+$M$126)</f>
        <v>0</v>
      </c>
      <c r="I131" s="357">
        <f>'6.Cons Profit &amp; Loss'!H14*(1+$M$126)</f>
        <v>0</v>
      </c>
    </row>
    <row r="132" spans="2:11" x14ac:dyDescent="0.2">
      <c r="B132" s="189" t="s">
        <v>345</v>
      </c>
      <c r="C132" s="357">
        <f>SUM(C125:C131)</f>
        <v>43619310</v>
      </c>
      <c r="D132" s="357">
        <f t="shared" ref="D132:I132" si="14">SUM(D125:D131)</f>
        <v>51315002.550000004</v>
      </c>
      <c r="E132" s="357">
        <f t="shared" si="14"/>
        <v>58787925.052500017</v>
      </c>
      <c r="F132" s="357">
        <f t="shared" si="14"/>
        <v>66879852.298875026</v>
      </c>
      <c r="G132" s="357">
        <f t="shared" si="14"/>
        <v>75634002.457256272</v>
      </c>
      <c r="H132" s="357">
        <f t="shared" si="14"/>
        <v>85096368.000728488</v>
      </c>
      <c r="I132" s="357">
        <f t="shared" si="14"/>
        <v>95315885.092404768</v>
      </c>
    </row>
    <row r="133" spans="2:11" x14ac:dyDescent="0.2">
      <c r="B133" s="189" t="s">
        <v>346</v>
      </c>
      <c r="C133" s="357"/>
      <c r="D133" s="357"/>
      <c r="E133" s="357"/>
      <c r="F133" s="357"/>
      <c r="G133" s="357"/>
      <c r="H133" s="357"/>
      <c r="I133" s="357"/>
    </row>
    <row r="134" spans="2:11" x14ac:dyDescent="0.2">
      <c r="B134" s="189" t="s">
        <v>347</v>
      </c>
      <c r="C134" s="357">
        <f>'6.Cons Profit &amp; Loss'!B36</f>
        <v>3304000</v>
      </c>
      <c r="D134" s="357">
        <f>'6.Cons Profit &amp; Loss'!C36</f>
        <v>3469200</v>
      </c>
      <c r="E134" s="357">
        <f>'6.Cons Profit &amp; Loss'!D36</f>
        <v>3642660</v>
      </c>
      <c r="F134" s="357">
        <f>'6.Cons Profit &amp; Loss'!E36</f>
        <v>3824793.0000000005</v>
      </c>
      <c r="G134" s="357">
        <f>'6.Cons Profit &amp; Loss'!F36</f>
        <v>4016032.6500000004</v>
      </c>
      <c r="H134" s="357">
        <f>'6.Cons Profit &amp; Loss'!G36</f>
        <v>4216834.2825000016</v>
      </c>
      <c r="I134" s="357">
        <f>'6.Cons Profit &amp; Loss'!H36</f>
        <v>4427675.9966250015</v>
      </c>
    </row>
    <row r="135" spans="2:11" x14ac:dyDescent="0.2">
      <c r="B135" s="189" t="s">
        <v>306</v>
      </c>
      <c r="C135" s="357">
        <f>'6.Cons Profit &amp; Loss'!B25*(1+M126)</f>
        <v>34775476.94145</v>
      </c>
      <c r="D135" s="357">
        <f>'6.Cons Profit &amp; Loss'!C25*(1+N126)</f>
        <v>38868731.186449997</v>
      </c>
      <c r="E135" s="357">
        <f>'6.Cons Profit &amp; Loss'!D25*(1+O126)</f>
        <v>44470122.847972512</v>
      </c>
      <c r="F135" s="357">
        <f>'6.Cons Profit &amp; Loss'!E25*(1+P126)</f>
        <v>50534481.847681142</v>
      </c>
      <c r="G135" s="357">
        <f>'6.Cons Profit &amp; Loss'!F25*(1+Q126)</f>
        <v>57094101.440240718</v>
      </c>
      <c r="H135" s="357">
        <f>'6.Cons Profit &amp; Loss'!G25*(1+R126)</f>
        <v>64183346.787437022</v>
      </c>
      <c r="I135" s="357">
        <f>'6.Cons Profit &amp; Loss'!H25*(1+S126)</f>
        <v>71838781.415752381</v>
      </c>
    </row>
    <row r="136" spans="2:11" x14ac:dyDescent="0.2">
      <c r="B136" s="189" t="s">
        <v>348</v>
      </c>
      <c r="C136" s="357">
        <f t="shared" ref="C136:I136" si="15">SUM(C134:C135)</f>
        <v>38079476.94145</v>
      </c>
      <c r="D136" s="357">
        <f t="shared" si="15"/>
        <v>42337931.186449997</v>
      </c>
      <c r="E136" s="357">
        <f t="shared" si="15"/>
        <v>48112782.847972512</v>
      </c>
      <c r="F136" s="357">
        <f t="shared" si="15"/>
        <v>54359274.847681142</v>
      </c>
      <c r="G136" s="357">
        <f t="shared" si="15"/>
        <v>61110134.090240717</v>
      </c>
      <c r="H136" s="357">
        <f t="shared" si="15"/>
        <v>68400181.069937021</v>
      </c>
      <c r="I136" s="357">
        <f t="shared" si="15"/>
        <v>76266457.412377387</v>
      </c>
    </row>
    <row r="137" spans="2:11" x14ac:dyDescent="0.2">
      <c r="B137" s="192" t="s">
        <v>349</v>
      </c>
      <c r="C137" s="359">
        <f t="shared" ref="C137:I137" si="16">+C132-C136</f>
        <v>5539833.0585500002</v>
      </c>
      <c r="D137" s="359">
        <f t="shared" si="16"/>
        <v>8977071.3635500073</v>
      </c>
      <c r="E137" s="359">
        <f t="shared" si="16"/>
        <v>10675142.204527505</v>
      </c>
      <c r="F137" s="359">
        <f t="shared" si="16"/>
        <v>12520577.451193884</v>
      </c>
      <c r="G137" s="359">
        <f t="shared" si="16"/>
        <v>14523868.367015556</v>
      </c>
      <c r="H137" s="359">
        <f t="shared" si="16"/>
        <v>16696186.930791467</v>
      </c>
      <c r="I137" s="359">
        <f t="shared" si="16"/>
        <v>19049427.680027381</v>
      </c>
    </row>
    <row r="138" spans="2:11" x14ac:dyDescent="0.2">
      <c r="B138" s="337"/>
      <c r="C138" s="360"/>
      <c r="D138" s="360"/>
      <c r="E138" s="360"/>
      <c r="F138" s="360"/>
      <c r="G138" s="360"/>
      <c r="H138" s="360"/>
      <c r="I138" s="360"/>
    </row>
    <row r="139" spans="2:11" x14ac:dyDescent="0.2">
      <c r="B139" s="123" t="s">
        <v>350</v>
      </c>
      <c r="C139" s="139" t="s">
        <v>2</v>
      </c>
      <c r="D139" s="139" t="s">
        <v>3</v>
      </c>
      <c r="E139" s="139" t="s">
        <v>4</v>
      </c>
      <c r="F139" s="139" t="s">
        <v>5</v>
      </c>
      <c r="G139" s="139" t="s">
        <v>6</v>
      </c>
      <c r="H139" s="139" t="s">
        <v>168</v>
      </c>
      <c r="I139" s="139" t="s">
        <v>167</v>
      </c>
    </row>
    <row r="140" spans="2:11" x14ac:dyDescent="0.2">
      <c r="B140" s="189" t="str">
        <f t="shared" ref="B140:B146" si="17">B125</f>
        <v>Activity 1 - Fruit Processing Unit</v>
      </c>
      <c r="C140" s="361">
        <f>'6.Cons Profit &amp; Loss'!B8</f>
        <v>41542200</v>
      </c>
      <c r="D140" s="361">
        <f>'6.Cons Profit &amp; Loss'!C8</f>
        <v>48871431</v>
      </c>
      <c r="E140" s="361">
        <f>'6.Cons Profit &amp; Loss'!D8</f>
        <v>55988500.050000012</v>
      </c>
      <c r="F140" s="361">
        <f>'6.Cons Profit &amp; Loss'!E8</f>
        <v>63695097.427500024</v>
      </c>
      <c r="G140" s="361">
        <f>'6.Cons Profit &amp; Loss'!F8</f>
        <v>72032383.292625025</v>
      </c>
      <c r="H140" s="361">
        <f>'6.Cons Profit &amp; Loss'!G8</f>
        <v>81044160.000693798</v>
      </c>
      <c r="I140" s="361">
        <f>'6.Cons Profit &amp; Loss'!H8</f>
        <v>90777033.421337873</v>
      </c>
    </row>
    <row r="141" spans="2:11" hidden="1" x14ac:dyDescent="0.2">
      <c r="B141" s="189" t="str">
        <f t="shared" si="17"/>
        <v>Activity 2 - Cold Press Oil</v>
      </c>
      <c r="C141" s="361">
        <f>'6.Cons Profit &amp; Loss'!B9</f>
        <v>0</v>
      </c>
      <c r="D141" s="361">
        <f>'6.Cons Profit &amp; Loss'!C9</f>
        <v>0</v>
      </c>
      <c r="E141" s="361">
        <f>'6.Cons Profit &amp; Loss'!D9</f>
        <v>0</v>
      </c>
      <c r="F141" s="361">
        <f>'6.Cons Profit &amp; Loss'!E9</f>
        <v>0</v>
      </c>
      <c r="G141" s="361">
        <f>'6.Cons Profit &amp; Loss'!F9</f>
        <v>0</v>
      </c>
      <c r="H141" s="361">
        <f>'6.Cons Profit &amp; Loss'!G9</f>
        <v>0</v>
      </c>
      <c r="I141" s="361">
        <f>'6.Cons Profit &amp; Loss'!H9</f>
        <v>0</v>
      </c>
    </row>
    <row r="142" spans="2:11" hidden="1" x14ac:dyDescent="0.2">
      <c r="B142" s="189" t="str">
        <f t="shared" si="17"/>
        <v>Faclitiy 3 - Warehouse</v>
      </c>
      <c r="C142" s="361">
        <f>'6.Cons Profit &amp; Loss'!B10</f>
        <v>0</v>
      </c>
      <c r="D142" s="361">
        <f>'6.Cons Profit &amp; Loss'!C10</f>
        <v>0</v>
      </c>
      <c r="E142" s="361">
        <f>'6.Cons Profit &amp; Loss'!D10</f>
        <v>0</v>
      </c>
      <c r="F142" s="361">
        <f>'6.Cons Profit &amp; Loss'!E10</f>
        <v>0</v>
      </c>
      <c r="G142" s="361">
        <f>'6.Cons Profit &amp; Loss'!F10</f>
        <v>0</v>
      </c>
      <c r="H142" s="361">
        <f>'6.Cons Profit &amp; Loss'!G10</f>
        <v>0</v>
      </c>
      <c r="I142" s="361">
        <f>'6.Cons Profit &amp; Loss'!H10</f>
        <v>0</v>
      </c>
    </row>
    <row r="143" spans="2:11" hidden="1" x14ac:dyDescent="0.2">
      <c r="B143" s="189" t="str">
        <f t="shared" si="17"/>
        <v xml:space="preserve">Faclitiy 4 - Custom Hiring </v>
      </c>
      <c r="C143" s="361">
        <f>'6.Cons Profit &amp; Loss'!B11</f>
        <v>0</v>
      </c>
      <c r="D143" s="361">
        <f>'6.Cons Profit &amp; Loss'!C11</f>
        <v>0</v>
      </c>
      <c r="E143" s="361">
        <f>'6.Cons Profit &amp; Loss'!D11</f>
        <v>0</v>
      </c>
      <c r="F143" s="361">
        <f>'6.Cons Profit &amp; Loss'!E11</f>
        <v>0</v>
      </c>
      <c r="G143" s="361">
        <f>'6.Cons Profit &amp; Loss'!F11</f>
        <v>0</v>
      </c>
      <c r="H143" s="361">
        <f>'6.Cons Profit &amp; Loss'!G11</f>
        <v>0</v>
      </c>
      <c r="I143" s="361">
        <f>'6.Cons Profit &amp; Loss'!H11</f>
        <v>0</v>
      </c>
    </row>
    <row r="144" spans="2:11" hidden="1" x14ac:dyDescent="0.2">
      <c r="B144" s="189" t="str">
        <f t="shared" si="17"/>
        <v>Faclitiy 5 - Agri Input Centre</v>
      </c>
      <c r="C144" s="361">
        <f>'6.Cons Profit &amp; Loss'!B12</f>
        <v>0</v>
      </c>
      <c r="D144" s="361">
        <f>'6.Cons Profit &amp; Loss'!C12</f>
        <v>0</v>
      </c>
      <c r="E144" s="361">
        <f>'6.Cons Profit &amp; Loss'!D12</f>
        <v>0</v>
      </c>
      <c r="F144" s="361">
        <f>'6.Cons Profit &amp; Loss'!E12</f>
        <v>0</v>
      </c>
      <c r="G144" s="361">
        <f>'6.Cons Profit &amp; Loss'!F12</f>
        <v>0</v>
      </c>
      <c r="H144" s="361">
        <f>'6.Cons Profit &amp; Loss'!G12</f>
        <v>0</v>
      </c>
      <c r="I144" s="361">
        <f>'6.Cons Profit &amp; Loss'!H12</f>
        <v>0</v>
      </c>
    </row>
    <row r="145" spans="2:15" hidden="1" x14ac:dyDescent="0.2">
      <c r="B145" s="189" t="str">
        <f t="shared" si="17"/>
        <v>Facility 6 - Processing Unit - Horti Commodity</v>
      </c>
      <c r="C145" s="361">
        <f>'6.Cons Profit &amp; Loss'!B13</f>
        <v>0</v>
      </c>
      <c r="D145" s="361">
        <f>'6.Cons Profit &amp; Loss'!C13</f>
        <v>0</v>
      </c>
      <c r="E145" s="361">
        <f>'6.Cons Profit &amp; Loss'!D13</f>
        <v>0</v>
      </c>
      <c r="F145" s="361">
        <f>'6.Cons Profit &amp; Loss'!E13</f>
        <v>0</v>
      </c>
      <c r="G145" s="361">
        <f>'6.Cons Profit &amp; Loss'!F13</f>
        <v>0</v>
      </c>
      <c r="H145" s="361">
        <f>'6.Cons Profit &amp; Loss'!G13</f>
        <v>0</v>
      </c>
      <c r="I145" s="361">
        <f>'6.Cons Profit &amp; Loss'!H13</f>
        <v>0</v>
      </c>
    </row>
    <row r="146" spans="2:15" x14ac:dyDescent="0.2">
      <c r="B146" s="189">
        <f t="shared" si="17"/>
        <v>0</v>
      </c>
      <c r="C146" s="361">
        <f>'6.Cons Profit &amp; Loss'!B14</f>
        <v>0</v>
      </c>
      <c r="D146" s="361">
        <f>'6.Cons Profit &amp; Loss'!C14</f>
        <v>0</v>
      </c>
      <c r="E146" s="361">
        <f>'6.Cons Profit &amp; Loss'!D14</f>
        <v>0</v>
      </c>
      <c r="F146" s="361">
        <f>'6.Cons Profit &amp; Loss'!E14</f>
        <v>0</v>
      </c>
      <c r="G146" s="361">
        <f>'6.Cons Profit &amp; Loss'!F14</f>
        <v>0</v>
      </c>
      <c r="H146" s="361">
        <f>'6.Cons Profit &amp; Loss'!G14</f>
        <v>0</v>
      </c>
      <c r="I146" s="361">
        <f>'6.Cons Profit &amp; Loss'!H14</f>
        <v>0</v>
      </c>
    </row>
    <row r="147" spans="2:15" x14ac:dyDescent="0.2">
      <c r="B147" s="189" t="s">
        <v>345</v>
      </c>
      <c r="C147" s="361">
        <f>SUM(C140:C146)</f>
        <v>41542200</v>
      </c>
      <c r="D147" s="361">
        <f t="shared" ref="D147:I147" si="18">SUM(D140:D146)</f>
        <v>48871431</v>
      </c>
      <c r="E147" s="361">
        <f t="shared" si="18"/>
        <v>55988500.050000012</v>
      </c>
      <c r="F147" s="361">
        <f t="shared" si="18"/>
        <v>63695097.427500024</v>
      </c>
      <c r="G147" s="361">
        <f t="shared" si="18"/>
        <v>72032383.292625025</v>
      </c>
      <c r="H147" s="361">
        <f t="shared" si="18"/>
        <v>81044160.000693798</v>
      </c>
      <c r="I147" s="361">
        <f t="shared" si="18"/>
        <v>90777033.421337873</v>
      </c>
    </row>
    <row r="148" spans="2:15" x14ac:dyDescent="0.2">
      <c r="B148" s="189" t="s">
        <v>346</v>
      </c>
      <c r="C148" s="362"/>
      <c r="D148" s="361"/>
      <c r="E148" s="361"/>
      <c r="F148" s="361"/>
      <c r="G148" s="361"/>
      <c r="H148" s="361"/>
      <c r="I148" s="361"/>
    </row>
    <row r="149" spans="2:15" x14ac:dyDescent="0.2">
      <c r="B149" s="189" t="s">
        <v>347</v>
      </c>
      <c r="C149" s="357">
        <f>'6.Cons Profit &amp; Loss'!B36</f>
        <v>3304000</v>
      </c>
      <c r="D149" s="357">
        <f>'6.Cons Profit &amp; Loss'!C36</f>
        <v>3469200</v>
      </c>
      <c r="E149" s="357">
        <f>'6.Cons Profit &amp; Loss'!D36</f>
        <v>3642660</v>
      </c>
      <c r="F149" s="357">
        <f>'6.Cons Profit &amp; Loss'!E36</f>
        <v>3824793.0000000005</v>
      </c>
      <c r="G149" s="357">
        <f>'6.Cons Profit &amp; Loss'!F36</f>
        <v>4016032.6500000004</v>
      </c>
      <c r="H149" s="357">
        <f>'6.Cons Profit &amp; Loss'!G36</f>
        <v>4216834.2825000016</v>
      </c>
      <c r="I149" s="357">
        <f>'6.Cons Profit &amp; Loss'!H36</f>
        <v>4427675.9966250015</v>
      </c>
    </row>
    <row r="150" spans="2:15" x14ac:dyDescent="0.2">
      <c r="B150" s="189" t="s">
        <v>306</v>
      </c>
      <c r="C150" s="357">
        <f>'6.Cons Profit &amp; Loss'!B25*(1+$M$127)</f>
        <v>34775476.94145</v>
      </c>
      <c r="D150" s="357">
        <f>'6.Cons Profit &amp; Loss'!C25*(1+$M$127)</f>
        <v>40812167.745772496</v>
      </c>
      <c r="E150" s="357">
        <f>'6.Cons Profit &amp; Loss'!D25*(1+$M$127)</f>
        <v>46693628.990371138</v>
      </c>
      <c r="F150" s="357">
        <f>'6.Cons Profit &amp; Loss'!E25*(1+$M$127)</f>
        <v>53061205.940065205</v>
      </c>
      <c r="G150" s="357">
        <f>'6.Cons Profit &amp; Loss'!F25*(1+$M$127)</f>
        <v>59948806.512252755</v>
      </c>
      <c r="H150" s="357">
        <f>'6.Cons Profit &amp; Loss'!G25*(1+$M$127)</f>
        <v>67392514.126808882</v>
      </c>
      <c r="I150" s="357">
        <f>'6.Cons Profit &amp; Loss'!H25*(1+$M$127)</f>
        <v>75430720.486540005</v>
      </c>
    </row>
    <row r="151" spans="2:15" x14ac:dyDescent="0.2">
      <c r="B151" s="189" t="s">
        <v>348</v>
      </c>
      <c r="C151" s="357">
        <f t="shared" ref="C151:I151" si="19">SUM(C149:C150)</f>
        <v>38079476.94145</v>
      </c>
      <c r="D151" s="357">
        <f t="shared" si="19"/>
        <v>44281367.745772496</v>
      </c>
      <c r="E151" s="357">
        <f t="shared" si="19"/>
        <v>50336288.990371138</v>
      </c>
      <c r="F151" s="357">
        <f t="shared" si="19"/>
        <v>56885998.940065205</v>
      </c>
      <c r="G151" s="357">
        <f t="shared" si="19"/>
        <v>63964839.162252754</v>
      </c>
      <c r="H151" s="357">
        <f t="shared" si="19"/>
        <v>71609348.409308881</v>
      </c>
      <c r="I151" s="357">
        <f t="shared" si="19"/>
        <v>79858396.483165011</v>
      </c>
    </row>
    <row r="152" spans="2:15" x14ac:dyDescent="0.2">
      <c r="B152" s="192" t="s">
        <v>349</v>
      </c>
      <c r="C152" s="359">
        <f t="shared" ref="C152:I152" si="20">+C147-C151</f>
        <v>3462723.0585500002</v>
      </c>
      <c r="D152" s="359">
        <f t="shared" si="20"/>
        <v>4590063.2542275041</v>
      </c>
      <c r="E152" s="359">
        <f t="shared" si="20"/>
        <v>5652211.0596288741</v>
      </c>
      <c r="F152" s="359">
        <f t="shared" si="20"/>
        <v>6809098.4874348193</v>
      </c>
      <c r="G152" s="359">
        <f t="shared" si="20"/>
        <v>8067544.1303722709</v>
      </c>
      <c r="H152" s="359">
        <f t="shared" si="20"/>
        <v>9434811.5913849175</v>
      </c>
      <c r="I152" s="359">
        <f t="shared" si="20"/>
        <v>10918636.938172862</v>
      </c>
      <c r="N152" s="138"/>
      <c r="O152" s="150"/>
    </row>
    <row r="153" spans="2:15" x14ac:dyDescent="0.2">
      <c r="B153" s="337"/>
      <c r="C153" s="360"/>
      <c r="D153" s="360"/>
      <c r="E153" s="360"/>
      <c r="F153" s="360"/>
      <c r="G153" s="360"/>
      <c r="H153" s="360"/>
      <c r="I153" s="360"/>
    </row>
    <row r="154" spans="2:15" x14ac:dyDescent="0.2">
      <c r="B154" s="123" t="s">
        <v>351</v>
      </c>
      <c r="C154" s="139" t="s">
        <v>2</v>
      </c>
      <c r="D154" s="139" t="s">
        <v>3</v>
      </c>
      <c r="E154" s="139" t="s">
        <v>4</v>
      </c>
      <c r="F154" s="139" t="s">
        <v>5</v>
      </c>
      <c r="G154" s="139" t="s">
        <v>6</v>
      </c>
      <c r="H154" s="139" t="s">
        <v>168</v>
      </c>
      <c r="I154" s="139" t="s">
        <v>167</v>
      </c>
    </row>
    <row r="155" spans="2:15" x14ac:dyDescent="0.2">
      <c r="B155" s="189" t="str">
        <f t="shared" ref="B155:B161" si="21">B140</f>
        <v>Activity 1 - Fruit Processing Unit</v>
      </c>
      <c r="C155" s="357">
        <f>'6.Cons Profit &amp; Loss'!B8*(1-$M$126)</f>
        <v>39465090</v>
      </c>
      <c r="D155" s="357">
        <f>'6.Cons Profit &amp; Loss'!C8*(1-$M$126)</f>
        <v>46427859.449999996</v>
      </c>
      <c r="E155" s="357">
        <f>'6.Cons Profit &amp; Loss'!D8*(1-$M$126)</f>
        <v>53189075.047500007</v>
      </c>
      <c r="F155" s="357">
        <f>'6.Cons Profit &amp; Loss'!E8*(1-$M$126)</f>
        <v>60510342.556125022</v>
      </c>
      <c r="G155" s="357">
        <f>'6.Cons Profit &amp; Loss'!F8*(1-$M$126)</f>
        <v>68430764.127993777</v>
      </c>
      <c r="H155" s="357">
        <f>'6.Cons Profit &amp; Loss'!G8*(1-$M$126)</f>
        <v>76991952.000659108</v>
      </c>
      <c r="I155" s="357">
        <f>'6.Cons Profit &amp; Loss'!H8*(1-$M$126)</f>
        <v>86238181.750270978</v>
      </c>
    </row>
    <row r="156" spans="2:15" hidden="1" x14ac:dyDescent="0.2">
      <c r="B156" s="189" t="str">
        <f t="shared" si="21"/>
        <v>Activity 2 - Cold Press Oil</v>
      </c>
      <c r="C156" s="357">
        <f>'6.Cons Profit &amp; Loss'!B9*(1-$M$126)</f>
        <v>0</v>
      </c>
      <c r="D156" s="357">
        <f>'6.Cons Profit &amp; Loss'!C9*(1-$M$126)</f>
        <v>0</v>
      </c>
      <c r="E156" s="357">
        <f>'6.Cons Profit &amp; Loss'!D9*(1-$M$126)</f>
        <v>0</v>
      </c>
      <c r="F156" s="357">
        <f>'6.Cons Profit &amp; Loss'!E9*(1-$M$126)</f>
        <v>0</v>
      </c>
      <c r="G156" s="357">
        <f>'6.Cons Profit &amp; Loss'!F9*(1-$M$126)</f>
        <v>0</v>
      </c>
      <c r="H156" s="357">
        <f>'6.Cons Profit &amp; Loss'!G9*(1-$M$126)</f>
        <v>0</v>
      </c>
      <c r="I156" s="357">
        <f>'6.Cons Profit &amp; Loss'!H9*(1-$M$126)</f>
        <v>0</v>
      </c>
    </row>
    <row r="157" spans="2:15" hidden="1" x14ac:dyDescent="0.2">
      <c r="B157" s="189" t="str">
        <f t="shared" si="21"/>
        <v>Faclitiy 3 - Warehouse</v>
      </c>
      <c r="C157" s="357">
        <f>'6.Cons Profit &amp; Loss'!B10*(1-$M$126)</f>
        <v>0</v>
      </c>
      <c r="D157" s="357">
        <f>'6.Cons Profit &amp; Loss'!C10*(1-$M$126)</f>
        <v>0</v>
      </c>
      <c r="E157" s="357">
        <f>'6.Cons Profit &amp; Loss'!D10*(1-$M$126)</f>
        <v>0</v>
      </c>
      <c r="F157" s="357">
        <f>'6.Cons Profit &amp; Loss'!E10*(1-$M$126)</f>
        <v>0</v>
      </c>
      <c r="G157" s="357">
        <f>'6.Cons Profit &amp; Loss'!F10*(1-$M$126)</f>
        <v>0</v>
      </c>
      <c r="H157" s="357">
        <f>'6.Cons Profit &amp; Loss'!G10*(1-$M$126)</f>
        <v>0</v>
      </c>
      <c r="I157" s="357">
        <f>'6.Cons Profit &amp; Loss'!H10*(1-$M$126)</f>
        <v>0</v>
      </c>
    </row>
    <row r="158" spans="2:15" hidden="1" x14ac:dyDescent="0.2">
      <c r="B158" s="189" t="str">
        <f t="shared" si="21"/>
        <v xml:space="preserve">Faclitiy 4 - Custom Hiring </v>
      </c>
      <c r="C158" s="357">
        <f>'6.Cons Profit &amp; Loss'!B11*(1-$M$126)</f>
        <v>0</v>
      </c>
      <c r="D158" s="357">
        <f>'6.Cons Profit &amp; Loss'!C11*(1-$M$126)</f>
        <v>0</v>
      </c>
      <c r="E158" s="357">
        <f>'6.Cons Profit &amp; Loss'!D11*(1-$M$126)</f>
        <v>0</v>
      </c>
      <c r="F158" s="357">
        <f>'6.Cons Profit &amp; Loss'!E11*(1-$M$126)</f>
        <v>0</v>
      </c>
      <c r="G158" s="357">
        <f>'6.Cons Profit &amp; Loss'!F11*(1-$M$126)</f>
        <v>0</v>
      </c>
      <c r="H158" s="357">
        <f>'6.Cons Profit &amp; Loss'!G11*(1-$M$126)</f>
        <v>0</v>
      </c>
      <c r="I158" s="357">
        <f>'6.Cons Profit &amp; Loss'!H11*(1-$M$126)</f>
        <v>0</v>
      </c>
    </row>
    <row r="159" spans="2:15" hidden="1" x14ac:dyDescent="0.2">
      <c r="B159" s="189" t="str">
        <f t="shared" si="21"/>
        <v>Faclitiy 5 - Agri Input Centre</v>
      </c>
      <c r="C159" s="357">
        <f>'6.Cons Profit &amp; Loss'!B12*(1-$M$126)</f>
        <v>0</v>
      </c>
      <c r="D159" s="357">
        <f>'6.Cons Profit &amp; Loss'!C12*(1-$M$126)</f>
        <v>0</v>
      </c>
      <c r="E159" s="357">
        <f>'6.Cons Profit &amp; Loss'!D12*(1-$M$126)</f>
        <v>0</v>
      </c>
      <c r="F159" s="357">
        <f>'6.Cons Profit &amp; Loss'!E12*(1-$M$126)</f>
        <v>0</v>
      </c>
      <c r="G159" s="357">
        <f>'6.Cons Profit &amp; Loss'!F12*(1-$M$126)</f>
        <v>0</v>
      </c>
      <c r="H159" s="357">
        <f>'6.Cons Profit &amp; Loss'!G12*(1-$M$126)</f>
        <v>0</v>
      </c>
      <c r="I159" s="357">
        <f>'6.Cons Profit &amp; Loss'!H12*(1-$M$126)</f>
        <v>0</v>
      </c>
    </row>
    <row r="160" spans="2:15" hidden="1" x14ac:dyDescent="0.2">
      <c r="B160" s="189" t="str">
        <f t="shared" si="21"/>
        <v>Facility 6 - Processing Unit - Horti Commodity</v>
      </c>
      <c r="C160" s="357">
        <f>'6.Cons Profit &amp; Loss'!B13*(1-$M$126)</f>
        <v>0</v>
      </c>
      <c r="D160" s="357">
        <f>'6.Cons Profit &amp; Loss'!C13*(1-$M$126)</f>
        <v>0</v>
      </c>
      <c r="E160" s="357">
        <f>'6.Cons Profit &amp; Loss'!D13*(1-$M$126)</f>
        <v>0</v>
      </c>
      <c r="F160" s="357">
        <f>'6.Cons Profit &amp; Loss'!E13*(1-$M$126)</f>
        <v>0</v>
      </c>
      <c r="G160" s="357">
        <f>'6.Cons Profit &amp; Loss'!F13*(1-$M$126)</f>
        <v>0</v>
      </c>
      <c r="H160" s="357">
        <f>'6.Cons Profit &amp; Loss'!G13*(1-$M$126)</f>
        <v>0</v>
      </c>
      <c r="I160" s="357">
        <f>'6.Cons Profit &amp; Loss'!H13*(1-$M$126)</f>
        <v>0</v>
      </c>
    </row>
    <row r="161" spans="2:9" x14ac:dyDescent="0.2">
      <c r="B161" s="189">
        <f t="shared" si="21"/>
        <v>0</v>
      </c>
      <c r="C161" s="357">
        <f>'6.Cons Profit &amp; Loss'!B14*(1-$M$126)</f>
        <v>0</v>
      </c>
      <c r="D161" s="357">
        <f>'6.Cons Profit &amp; Loss'!C14*(1-$M$126)</f>
        <v>0</v>
      </c>
      <c r="E161" s="357">
        <f>'6.Cons Profit &amp; Loss'!D14*(1-$M$126)</f>
        <v>0</v>
      </c>
      <c r="F161" s="357">
        <f>'6.Cons Profit &amp; Loss'!E14*(1-$M$126)</f>
        <v>0</v>
      </c>
      <c r="G161" s="357">
        <f>'6.Cons Profit &amp; Loss'!F14*(1-$M$126)</f>
        <v>0</v>
      </c>
      <c r="H161" s="357">
        <f>'6.Cons Profit &amp; Loss'!G14*(1-$M$126)</f>
        <v>0</v>
      </c>
      <c r="I161" s="357">
        <f>'6.Cons Profit &amp; Loss'!H14*(1-$M$126)</f>
        <v>0</v>
      </c>
    </row>
    <row r="162" spans="2:9" x14ac:dyDescent="0.2">
      <c r="B162" s="189" t="s">
        <v>345</v>
      </c>
      <c r="C162" s="357">
        <f>SUM(C155:C161)</f>
        <v>39465090</v>
      </c>
      <c r="D162" s="357">
        <f t="shared" ref="D162:I162" si="22">SUM(D155:D161)</f>
        <v>46427859.449999996</v>
      </c>
      <c r="E162" s="357">
        <f t="shared" si="22"/>
        <v>53189075.047500007</v>
      </c>
      <c r="F162" s="357">
        <f t="shared" si="22"/>
        <v>60510342.556125022</v>
      </c>
      <c r="G162" s="357">
        <f t="shared" si="22"/>
        <v>68430764.127993777</v>
      </c>
      <c r="H162" s="357">
        <f t="shared" si="22"/>
        <v>76991952.000659108</v>
      </c>
      <c r="I162" s="357">
        <f t="shared" si="22"/>
        <v>86238181.750270978</v>
      </c>
    </row>
    <row r="163" spans="2:9" x14ac:dyDescent="0.2">
      <c r="B163" s="189" t="s">
        <v>346</v>
      </c>
      <c r="C163" s="357"/>
      <c r="D163" s="357"/>
      <c r="E163" s="357"/>
      <c r="F163" s="357"/>
      <c r="G163" s="357"/>
      <c r="H163" s="357"/>
      <c r="I163" s="357"/>
    </row>
    <row r="164" spans="2:9" x14ac:dyDescent="0.2">
      <c r="B164" s="189" t="s">
        <v>347</v>
      </c>
      <c r="C164" s="357">
        <f>'6.Cons Profit &amp; Loss'!B36</f>
        <v>3304000</v>
      </c>
      <c r="D164" s="357">
        <f>'6.Cons Profit &amp; Loss'!C36</f>
        <v>3469200</v>
      </c>
      <c r="E164" s="357">
        <f>'6.Cons Profit &amp; Loss'!D36</f>
        <v>3642660</v>
      </c>
      <c r="F164" s="357">
        <f>'6.Cons Profit &amp; Loss'!E36</f>
        <v>3824793.0000000005</v>
      </c>
      <c r="G164" s="357">
        <f>'6.Cons Profit &amp; Loss'!F36</f>
        <v>4016032.6500000004</v>
      </c>
      <c r="H164" s="357">
        <f>'6.Cons Profit &amp; Loss'!G36</f>
        <v>4216834.2825000016</v>
      </c>
      <c r="I164" s="357">
        <f>'6.Cons Profit &amp; Loss'!H36</f>
        <v>4427675.9966250015</v>
      </c>
    </row>
    <row r="165" spans="2:9" x14ac:dyDescent="0.2">
      <c r="B165" s="189" t="s">
        <v>306</v>
      </c>
      <c r="C165" s="357">
        <f>'6.Cons Profit &amp; Loss'!B25*(1-$M$126)</f>
        <v>31463526.756549995</v>
      </c>
      <c r="D165" s="357">
        <f>'6.Cons Profit &amp; Loss'!C25*(1-$M$126)</f>
        <v>36925294.627127498</v>
      </c>
      <c r="E165" s="357">
        <f>'6.Cons Profit &amp; Loss'!D25*(1-$M$126)</f>
        <v>42246616.705573887</v>
      </c>
      <c r="F165" s="357">
        <f>'6.Cons Profit &amp; Loss'!E25*(1-$M$126)</f>
        <v>48007757.75529708</v>
      </c>
      <c r="G165" s="357">
        <f>'6.Cons Profit &amp; Loss'!F25*(1-$M$126)</f>
        <v>54239396.368228681</v>
      </c>
      <c r="H165" s="357">
        <f>'6.Cons Profit &amp; Loss'!G25*(1-$M$126)</f>
        <v>60974179.448065169</v>
      </c>
      <c r="I165" s="357">
        <f>'6.Cons Profit &amp; Loss'!H25*(1-$M$126)</f>
        <v>68246842.344964758</v>
      </c>
    </row>
    <row r="166" spans="2:9" x14ac:dyDescent="0.2">
      <c r="B166" s="189" t="s">
        <v>348</v>
      </c>
      <c r="C166" s="357">
        <f t="shared" ref="C166:I166" si="23">SUM(C164:C165)</f>
        <v>34767526.756549999</v>
      </c>
      <c r="D166" s="357">
        <f t="shared" si="23"/>
        <v>40394494.627127498</v>
      </c>
      <c r="E166" s="357">
        <f t="shared" si="23"/>
        <v>45889276.705573887</v>
      </c>
      <c r="F166" s="357">
        <f t="shared" si="23"/>
        <v>51832550.75529708</v>
      </c>
      <c r="G166" s="357">
        <f t="shared" si="23"/>
        <v>58255429.01822868</v>
      </c>
      <c r="H166" s="357">
        <f t="shared" si="23"/>
        <v>65191013.730565168</v>
      </c>
      <c r="I166" s="357">
        <f t="shared" si="23"/>
        <v>72674518.341589764</v>
      </c>
    </row>
    <row r="167" spans="2:9" x14ac:dyDescent="0.2">
      <c r="B167" s="192" t="s">
        <v>349</v>
      </c>
      <c r="C167" s="359">
        <f t="shared" ref="C167:I167" si="24">+C162-C166</f>
        <v>4697563.2434500009</v>
      </c>
      <c r="D167" s="359">
        <f t="shared" si="24"/>
        <v>6033364.8228724971</v>
      </c>
      <c r="E167" s="359">
        <f t="shared" si="24"/>
        <v>7299798.3419261202</v>
      </c>
      <c r="F167" s="359">
        <f t="shared" si="24"/>
        <v>8677791.8008279428</v>
      </c>
      <c r="G167" s="359">
        <f t="shared" si="24"/>
        <v>10175335.109765097</v>
      </c>
      <c r="H167" s="359">
        <f t="shared" si="24"/>
        <v>11800938.27009394</v>
      </c>
      <c r="I167" s="359">
        <f t="shared" si="24"/>
        <v>13563663.408681214</v>
      </c>
    </row>
    <row r="168" spans="2:9" x14ac:dyDescent="0.2">
      <c r="C168" s="360"/>
      <c r="D168" s="360"/>
      <c r="E168" s="360"/>
      <c r="F168" s="360"/>
      <c r="G168" s="360"/>
      <c r="H168" s="360"/>
      <c r="I168" s="360"/>
    </row>
    <row r="169" spans="2:9" x14ac:dyDescent="0.2">
      <c r="B169" s="123" t="s">
        <v>352</v>
      </c>
      <c r="C169" s="139" t="s">
        <v>2</v>
      </c>
      <c r="D169" s="139" t="s">
        <v>3</v>
      </c>
      <c r="E169" s="139" t="s">
        <v>4</v>
      </c>
      <c r="F169" s="139" t="s">
        <v>5</v>
      </c>
      <c r="G169" s="139" t="s">
        <v>6</v>
      </c>
      <c r="H169" s="139" t="s">
        <v>168</v>
      </c>
      <c r="I169" s="139" t="s">
        <v>167</v>
      </c>
    </row>
    <row r="170" spans="2:9" x14ac:dyDescent="0.2">
      <c r="B170" s="189" t="str">
        <f t="shared" ref="B170:B176" si="25">B155</f>
        <v>Activity 1 - Fruit Processing Unit</v>
      </c>
      <c r="C170" s="361">
        <f>'6.Cons Profit &amp; Loss'!B8</f>
        <v>41542200</v>
      </c>
      <c r="D170" s="361">
        <f>'6.Cons Profit &amp; Loss'!C8</f>
        <v>48871431</v>
      </c>
      <c r="E170" s="361">
        <f>'6.Cons Profit &amp; Loss'!D8</f>
        <v>55988500.050000012</v>
      </c>
      <c r="F170" s="361">
        <f>'6.Cons Profit &amp; Loss'!E8</f>
        <v>63695097.427500024</v>
      </c>
      <c r="G170" s="361">
        <f>'6.Cons Profit &amp; Loss'!F8</f>
        <v>72032383.292625025</v>
      </c>
      <c r="H170" s="361">
        <f>'6.Cons Profit &amp; Loss'!G8</f>
        <v>81044160.000693798</v>
      </c>
      <c r="I170" s="361">
        <f>'6.Cons Profit &amp; Loss'!H8</f>
        <v>90777033.421337873</v>
      </c>
    </row>
    <row r="171" spans="2:9" hidden="1" x14ac:dyDescent="0.2">
      <c r="B171" s="189" t="str">
        <f t="shared" si="25"/>
        <v>Activity 2 - Cold Press Oil</v>
      </c>
      <c r="C171" s="361">
        <f>'6.Cons Profit &amp; Loss'!B9</f>
        <v>0</v>
      </c>
      <c r="D171" s="361">
        <f>'6.Cons Profit &amp; Loss'!C9</f>
        <v>0</v>
      </c>
      <c r="E171" s="361">
        <f>'6.Cons Profit &amp; Loss'!D9</f>
        <v>0</v>
      </c>
      <c r="F171" s="361">
        <f>'6.Cons Profit &amp; Loss'!E9</f>
        <v>0</v>
      </c>
      <c r="G171" s="361">
        <f>'6.Cons Profit &amp; Loss'!F9</f>
        <v>0</v>
      </c>
      <c r="H171" s="361">
        <f>'6.Cons Profit &amp; Loss'!G9</f>
        <v>0</v>
      </c>
      <c r="I171" s="361">
        <f>'6.Cons Profit &amp; Loss'!H9</f>
        <v>0</v>
      </c>
    </row>
    <row r="172" spans="2:9" hidden="1" x14ac:dyDescent="0.2">
      <c r="B172" s="189" t="str">
        <f t="shared" si="25"/>
        <v>Faclitiy 3 - Warehouse</v>
      </c>
      <c r="C172" s="361">
        <f>'6.Cons Profit &amp; Loss'!B10</f>
        <v>0</v>
      </c>
      <c r="D172" s="361">
        <f>'6.Cons Profit &amp; Loss'!C10</f>
        <v>0</v>
      </c>
      <c r="E172" s="361">
        <f>'6.Cons Profit &amp; Loss'!D10</f>
        <v>0</v>
      </c>
      <c r="F172" s="361">
        <f>'6.Cons Profit &amp; Loss'!E10</f>
        <v>0</v>
      </c>
      <c r="G172" s="361">
        <f>'6.Cons Profit &amp; Loss'!F10</f>
        <v>0</v>
      </c>
      <c r="H172" s="361">
        <f>'6.Cons Profit &amp; Loss'!G10</f>
        <v>0</v>
      </c>
      <c r="I172" s="361">
        <f>'6.Cons Profit &amp; Loss'!H10</f>
        <v>0</v>
      </c>
    </row>
    <row r="173" spans="2:9" hidden="1" x14ac:dyDescent="0.2">
      <c r="B173" s="189" t="str">
        <f t="shared" si="25"/>
        <v xml:space="preserve">Faclitiy 4 - Custom Hiring </v>
      </c>
      <c r="C173" s="361">
        <f>'6.Cons Profit &amp; Loss'!B11</f>
        <v>0</v>
      </c>
      <c r="D173" s="361">
        <f>'6.Cons Profit &amp; Loss'!C11</f>
        <v>0</v>
      </c>
      <c r="E173" s="361">
        <f>'6.Cons Profit &amp; Loss'!D11</f>
        <v>0</v>
      </c>
      <c r="F173" s="361">
        <f>'6.Cons Profit &amp; Loss'!E11</f>
        <v>0</v>
      </c>
      <c r="G173" s="361">
        <f>'6.Cons Profit &amp; Loss'!F11</f>
        <v>0</v>
      </c>
      <c r="H173" s="361">
        <f>'6.Cons Profit &amp; Loss'!G11</f>
        <v>0</v>
      </c>
      <c r="I173" s="361">
        <f>'6.Cons Profit &amp; Loss'!H11</f>
        <v>0</v>
      </c>
    </row>
    <row r="174" spans="2:9" hidden="1" x14ac:dyDescent="0.2">
      <c r="B174" s="189" t="str">
        <f t="shared" si="25"/>
        <v>Faclitiy 5 - Agri Input Centre</v>
      </c>
      <c r="C174" s="361">
        <f>'6.Cons Profit &amp; Loss'!B12</f>
        <v>0</v>
      </c>
      <c r="D174" s="361">
        <f>'6.Cons Profit &amp; Loss'!C12</f>
        <v>0</v>
      </c>
      <c r="E174" s="361">
        <f>'6.Cons Profit &amp; Loss'!D12</f>
        <v>0</v>
      </c>
      <c r="F174" s="361">
        <f>'6.Cons Profit &amp; Loss'!E12</f>
        <v>0</v>
      </c>
      <c r="G174" s="361">
        <f>'6.Cons Profit &amp; Loss'!F12</f>
        <v>0</v>
      </c>
      <c r="H174" s="361">
        <f>'6.Cons Profit &amp; Loss'!G12</f>
        <v>0</v>
      </c>
      <c r="I174" s="361">
        <f>'6.Cons Profit &amp; Loss'!H12</f>
        <v>0</v>
      </c>
    </row>
    <row r="175" spans="2:9" hidden="1" x14ac:dyDescent="0.2">
      <c r="B175" s="189" t="str">
        <f t="shared" si="25"/>
        <v>Facility 6 - Processing Unit - Horti Commodity</v>
      </c>
      <c r="C175" s="361">
        <f>'6.Cons Profit &amp; Loss'!B13</f>
        <v>0</v>
      </c>
      <c r="D175" s="361">
        <f>'6.Cons Profit &amp; Loss'!C13</f>
        <v>0</v>
      </c>
      <c r="E175" s="361">
        <f>'6.Cons Profit &amp; Loss'!D13</f>
        <v>0</v>
      </c>
      <c r="F175" s="361">
        <f>'6.Cons Profit &amp; Loss'!E13</f>
        <v>0</v>
      </c>
      <c r="G175" s="361">
        <f>'6.Cons Profit &amp; Loss'!F13</f>
        <v>0</v>
      </c>
      <c r="H175" s="361">
        <f>'6.Cons Profit &amp; Loss'!G13</f>
        <v>0</v>
      </c>
      <c r="I175" s="361">
        <f>'6.Cons Profit &amp; Loss'!H13</f>
        <v>0</v>
      </c>
    </row>
    <row r="176" spans="2:9" x14ac:dyDescent="0.2">
      <c r="B176" s="189">
        <f t="shared" si="25"/>
        <v>0</v>
      </c>
      <c r="C176" s="361">
        <f>'6.Cons Profit &amp; Loss'!B14</f>
        <v>0</v>
      </c>
      <c r="D176" s="361">
        <f>'6.Cons Profit &amp; Loss'!C14</f>
        <v>0</v>
      </c>
      <c r="E176" s="361">
        <f>'6.Cons Profit &amp; Loss'!D14</f>
        <v>0</v>
      </c>
      <c r="F176" s="361">
        <f>'6.Cons Profit &amp; Loss'!E14</f>
        <v>0</v>
      </c>
      <c r="G176" s="361">
        <f>'6.Cons Profit &amp; Loss'!F14</f>
        <v>0</v>
      </c>
      <c r="H176" s="361">
        <f>'6.Cons Profit &amp; Loss'!G14</f>
        <v>0</v>
      </c>
      <c r="I176" s="361">
        <f>'6.Cons Profit &amp; Loss'!H14</f>
        <v>0</v>
      </c>
    </row>
    <row r="177" spans="2:13" x14ac:dyDescent="0.2">
      <c r="B177" s="189" t="s">
        <v>345</v>
      </c>
      <c r="C177" s="361">
        <f>SUM(C170:C176)</f>
        <v>41542200</v>
      </c>
      <c r="D177" s="361">
        <f t="shared" ref="D177:I177" si="26">SUM(D170:D176)</f>
        <v>48871431</v>
      </c>
      <c r="E177" s="361">
        <f t="shared" si="26"/>
        <v>55988500.050000012</v>
      </c>
      <c r="F177" s="361">
        <f t="shared" si="26"/>
        <v>63695097.427500024</v>
      </c>
      <c r="G177" s="361">
        <f t="shared" si="26"/>
        <v>72032383.292625025</v>
      </c>
      <c r="H177" s="361">
        <f t="shared" si="26"/>
        <v>81044160.000693798</v>
      </c>
      <c r="I177" s="361">
        <f t="shared" si="26"/>
        <v>90777033.421337873</v>
      </c>
    </row>
    <row r="178" spans="2:13" x14ac:dyDescent="0.2">
      <c r="B178" s="189" t="s">
        <v>346</v>
      </c>
      <c r="C178" s="361"/>
      <c r="D178" s="361"/>
      <c r="E178" s="361"/>
      <c r="F178" s="361"/>
      <c r="G178" s="361"/>
      <c r="H178" s="361"/>
      <c r="I178" s="361"/>
    </row>
    <row r="179" spans="2:13" x14ac:dyDescent="0.2">
      <c r="B179" s="189" t="s">
        <v>347</v>
      </c>
      <c r="C179" s="361">
        <f>'6.Cons Profit &amp; Loss'!B36</f>
        <v>3304000</v>
      </c>
      <c r="D179" s="361">
        <f>'6.Cons Profit &amp; Loss'!C36</f>
        <v>3469200</v>
      </c>
      <c r="E179" s="361">
        <f>'6.Cons Profit &amp; Loss'!D36</f>
        <v>3642660</v>
      </c>
      <c r="F179" s="361">
        <f>'6.Cons Profit &amp; Loss'!E36</f>
        <v>3824793.0000000005</v>
      </c>
      <c r="G179" s="361">
        <f>'6.Cons Profit &amp; Loss'!F36</f>
        <v>4016032.6500000004</v>
      </c>
      <c r="H179" s="361">
        <f>'6.Cons Profit &amp; Loss'!G36</f>
        <v>4216834.2825000016</v>
      </c>
      <c r="I179" s="361">
        <f>'6.Cons Profit &amp; Loss'!H36</f>
        <v>4427675.9966250015</v>
      </c>
    </row>
    <row r="180" spans="2:13" x14ac:dyDescent="0.2">
      <c r="B180" s="189" t="s">
        <v>306</v>
      </c>
      <c r="C180" s="361">
        <f>'6.Cons Profit &amp; Loss'!B25*(1-$M$127)</f>
        <v>31463526.756549995</v>
      </c>
      <c r="D180" s="361">
        <f>'6.Cons Profit &amp; Loss'!C25*(1-$M$127)</f>
        <v>36925294.627127498</v>
      </c>
      <c r="E180" s="361">
        <f>'6.Cons Profit &amp; Loss'!D25*(1-$M$127)</f>
        <v>42246616.705573887</v>
      </c>
      <c r="F180" s="361">
        <f>'6.Cons Profit &amp; Loss'!E25*(1-$M$127)</f>
        <v>48007757.75529708</v>
      </c>
      <c r="G180" s="361">
        <f>'6.Cons Profit &amp; Loss'!F25*(1-$M$127)</f>
        <v>54239396.368228681</v>
      </c>
      <c r="H180" s="361">
        <f>'6.Cons Profit &amp; Loss'!G25*(1-$M$127)</f>
        <v>60974179.448065169</v>
      </c>
      <c r="I180" s="361">
        <f>'6.Cons Profit &amp; Loss'!H25*(1-$M$127)</f>
        <v>68246842.344964758</v>
      </c>
    </row>
    <row r="181" spans="2:13" x14ac:dyDescent="0.2">
      <c r="B181" s="189" t="s">
        <v>348</v>
      </c>
      <c r="C181" s="361">
        <f t="shared" ref="C181:I181" si="27">SUM(C179:C180)</f>
        <v>34767526.756549999</v>
      </c>
      <c r="D181" s="361">
        <f t="shared" si="27"/>
        <v>40394494.627127498</v>
      </c>
      <c r="E181" s="361">
        <f t="shared" si="27"/>
        <v>45889276.705573887</v>
      </c>
      <c r="F181" s="361">
        <f t="shared" si="27"/>
        <v>51832550.75529708</v>
      </c>
      <c r="G181" s="361">
        <f t="shared" si="27"/>
        <v>58255429.01822868</v>
      </c>
      <c r="H181" s="361">
        <f t="shared" si="27"/>
        <v>65191013.730565168</v>
      </c>
      <c r="I181" s="361">
        <f t="shared" si="27"/>
        <v>72674518.341589764</v>
      </c>
    </row>
    <row r="182" spans="2:13" x14ac:dyDescent="0.2">
      <c r="B182" s="192" t="s">
        <v>349</v>
      </c>
      <c r="C182" s="363">
        <f t="shared" ref="C182:I182" si="28">+C177-C181</f>
        <v>6774673.2434500009</v>
      </c>
      <c r="D182" s="363">
        <f t="shared" si="28"/>
        <v>8476936.3728725016</v>
      </c>
      <c r="E182" s="363">
        <f t="shared" si="28"/>
        <v>10099223.344426125</v>
      </c>
      <c r="F182" s="363">
        <f t="shared" si="28"/>
        <v>11862546.672202945</v>
      </c>
      <c r="G182" s="363">
        <f t="shared" si="28"/>
        <v>13776954.274396345</v>
      </c>
      <c r="H182" s="363">
        <f t="shared" si="28"/>
        <v>15853146.27012863</v>
      </c>
      <c r="I182" s="363">
        <f t="shared" si="28"/>
        <v>18102515.079748109</v>
      </c>
    </row>
    <row r="184" spans="2:13" ht="41.1" customHeight="1" x14ac:dyDescent="0.2">
      <c r="B184" s="465" t="s">
        <v>535</v>
      </c>
      <c r="C184" s="465"/>
      <c r="D184" s="465"/>
      <c r="E184" s="465"/>
      <c r="F184" s="465"/>
      <c r="G184" s="465"/>
      <c r="H184" s="465"/>
      <c r="I184" s="465"/>
      <c r="J184" s="69"/>
      <c r="K184" s="69"/>
      <c r="L184" s="69"/>
      <c r="M184" s="69"/>
    </row>
  </sheetData>
  <mergeCells count="19">
    <mergeCell ref="B5:J5"/>
    <mergeCell ref="B26:I26"/>
    <mergeCell ref="B54:I54"/>
    <mergeCell ref="B24:J24"/>
    <mergeCell ref="B51:J51"/>
    <mergeCell ref="B184:I184"/>
    <mergeCell ref="B123:I123"/>
    <mergeCell ref="K123:R123"/>
    <mergeCell ref="D20:J20"/>
    <mergeCell ref="D22:J22"/>
    <mergeCell ref="B75:J75"/>
    <mergeCell ref="B88:I88"/>
    <mergeCell ref="B103:J103"/>
    <mergeCell ref="B121:J121"/>
    <mergeCell ref="B105:I105"/>
    <mergeCell ref="B76:I76"/>
    <mergeCell ref="C82:I82"/>
    <mergeCell ref="C83:I83"/>
    <mergeCell ref="B90:J90"/>
  </mergeCells>
  <hyperlinks>
    <hyperlink ref="B24" r:id="rId1" display="https://www.investopedia.com/terms/d/discountrate.asp" xr:uid="{00000000-0004-0000-0A00-000000000000}"/>
  </hyperlinks>
  <pageMargins left="0.7" right="0.7" top="0.75" bottom="0.75" header="0.3" footer="0.3"/>
  <pageSetup scale="58"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Z119"/>
  <sheetViews>
    <sheetView view="pageBreakPreview" topLeftCell="A16" zoomScale="80" zoomScaleSheetLayoutView="80" workbookViewId="0">
      <selection activeCell="C44" sqref="C44"/>
    </sheetView>
  </sheetViews>
  <sheetFormatPr defaultColWidth="8.7421875" defaultRowHeight="15" x14ac:dyDescent="0.2"/>
  <cols>
    <col min="1" max="1" width="49.234375" style="92" bestFit="1" customWidth="1"/>
    <col min="2" max="2" width="23.26953125" style="92" bestFit="1" customWidth="1"/>
    <col min="3" max="3" width="11.56640625" style="92" customWidth="1"/>
    <col min="4" max="4" width="18.83203125" style="92" customWidth="1"/>
    <col min="5" max="5" width="15.19921875" style="92" customWidth="1"/>
    <col min="6" max="7" width="15.87109375" style="92" customWidth="1"/>
    <col min="8" max="8" width="21.25390625" style="92" customWidth="1"/>
    <col min="9" max="9" width="11.43359375" style="92" bestFit="1" customWidth="1"/>
    <col min="10" max="10" width="9.14453125" style="92" bestFit="1" customWidth="1"/>
    <col min="11" max="16384" width="8.7421875" style="92"/>
  </cols>
  <sheetData>
    <row r="1" spans="1:26" ht="18.75" x14ac:dyDescent="0.25">
      <c r="A1" s="427" t="s">
        <v>496</v>
      </c>
      <c r="B1" s="427"/>
      <c r="C1" s="427"/>
      <c r="D1" s="427"/>
      <c r="E1" s="427"/>
      <c r="F1" s="427"/>
      <c r="G1" s="427"/>
      <c r="H1" s="427"/>
    </row>
    <row r="2" spans="1:26" x14ac:dyDescent="0.2">
      <c r="B2" s="138"/>
    </row>
    <row r="3" spans="1:26" ht="18.75" x14ac:dyDescent="0.25">
      <c r="A3" s="476" t="s">
        <v>563</v>
      </c>
      <c r="B3" s="476"/>
    </row>
    <row r="4" spans="1:26" x14ac:dyDescent="0.2">
      <c r="A4" s="123" t="s">
        <v>0</v>
      </c>
      <c r="B4" s="139" t="s">
        <v>377</v>
      </c>
      <c r="C4" s="364"/>
      <c r="D4" s="364"/>
      <c r="E4" s="364"/>
      <c r="F4" s="364"/>
      <c r="G4" s="364"/>
      <c r="H4" s="364"/>
    </row>
    <row r="5" spans="1:26" x14ac:dyDescent="0.2">
      <c r="A5" s="93" t="s">
        <v>488</v>
      </c>
      <c r="B5" s="239"/>
      <c r="D5" s="365"/>
      <c r="E5" s="365"/>
      <c r="F5" s="365"/>
      <c r="G5" s="365"/>
      <c r="H5" s="365"/>
    </row>
    <row r="6" spans="1:26" x14ac:dyDescent="0.2">
      <c r="A6" s="93" t="s">
        <v>489</v>
      </c>
      <c r="B6" s="239"/>
      <c r="D6" s="365"/>
      <c r="E6" s="365"/>
      <c r="F6" s="365"/>
      <c r="G6" s="365"/>
      <c r="H6" s="365"/>
    </row>
    <row r="7" spans="1:26" x14ac:dyDescent="0.2">
      <c r="A7" s="98" t="s">
        <v>1</v>
      </c>
      <c r="B7" s="98">
        <f>B5+B6</f>
        <v>0</v>
      </c>
      <c r="C7" s="151"/>
      <c r="D7" s="366"/>
      <c r="E7" s="366"/>
      <c r="F7" s="366"/>
      <c r="G7" s="366"/>
      <c r="H7" s="366"/>
    </row>
    <row r="8" spans="1:26" x14ac:dyDescent="0.2">
      <c r="A8" s="98" t="s">
        <v>490</v>
      </c>
      <c r="B8" s="242">
        <v>2</v>
      </c>
      <c r="C8" s="151"/>
      <c r="D8" s="151"/>
      <c r="E8" s="151"/>
      <c r="F8" s="151"/>
      <c r="G8" s="151"/>
      <c r="H8" s="151"/>
    </row>
    <row r="9" spans="1:26" x14ac:dyDescent="0.2">
      <c r="A9" s="98" t="s">
        <v>495</v>
      </c>
      <c r="B9" s="98">
        <f>B7*B8</f>
        <v>0</v>
      </c>
      <c r="C9" s="366"/>
      <c r="D9" s="366"/>
      <c r="E9" s="366"/>
      <c r="F9" s="366"/>
      <c r="G9" s="366"/>
      <c r="H9" s="366"/>
    </row>
    <row r="10" spans="1:26" x14ac:dyDescent="0.2">
      <c r="J10" s="92" t="s">
        <v>445</v>
      </c>
      <c r="O10" s="92" t="s">
        <v>441</v>
      </c>
      <c r="U10" s="92" t="s">
        <v>442</v>
      </c>
      <c r="Y10" s="92" t="s">
        <v>443</v>
      </c>
      <c r="Z10" s="92" t="s">
        <v>444</v>
      </c>
    </row>
    <row r="11" spans="1:26" ht="18.75" x14ac:dyDescent="0.25">
      <c r="A11" s="427" t="s">
        <v>564</v>
      </c>
      <c r="B11" s="427"/>
      <c r="C11" s="427"/>
      <c r="D11" s="427"/>
      <c r="E11" s="427"/>
      <c r="F11" s="427"/>
      <c r="G11" s="427"/>
      <c r="H11" s="427"/>
      <c r="I11" s="151"/>
      <c r="J11" s="151"/>
      <c r="K11" s="151"/>
      <c r="L11" s="151"/>
      <c r="M11" s="151"/>
      <c r="N11" s="151"/>
      <c r="O11" s="151"/>
      <c r="P11" s="151"/>
    </row>
    <row r="12" spans="1:26" x14ac:dyDescent="0.2">
      <c r="J12" s="173">
        <v>0.65</v>
      </c>
      <c r="K12" s="367">
        <f>J12+0.05</f>
        <v>0.70000000000000007</v>
      </c>
      <c r="L12" s="367">
        <f t="shared" ref="L12:N12" si="0">K12+0.05</f>
        <v>0.75000000000000011</v>
      </c>
      <c r="M12" s="367">
        <f t="shared" si="0"/>
        <v>0.80000000000000016</v>
      </c>
      <c r="N12" s="367">
        <f t="shared" si="0"/>
        <v>0.8500000000000002</v>
      </c>
      <c r="O12" s="173">
        <v>0.4</v>
      </c>
      <c r="P12" s="173">
        <f>O12+0.05</f>
        <v>0.45</v>
      </c>
      <c r="Q12" s="173">
        <f t="shared" ref="Q12:T12" si="1">P12+0.05</f>
        <v>0.5</v>
      </c>
      <c r="R12" s="173">
        <f t="shared" si="1"/>
        <v>0.55000000000000004</v>
      </c>
      <c r="S12" s="173">
        <f t="shared" si="1"/>
        <v>0.60000000000000009</v>
      </c>
      <c r="T12" s="173">
        <f t="shared" si="1"/>
        <v>0.65000000000000013</v>
      </c>
      <c r="U12" s="173">
        <v>0.1</v>
      </c>
      <c r="V12" s="150">
        <f>U12+0.05</f>
        <v>0.15000000000000002</v>
      </c>
      <c r="W12" s="150">
        <f t="shared" ref="W12:X12" si="2">V12+0.05</f>
        <v>0.2</v>
      </c>
      <c r="X12" s="150">
        <f t="shared" si="2"/>
        <v>0.25</v>
      </c>
    </row>
    <row r="13" spans="1:26" ht="25.5" x14ac:dyDescent="0.2">
      <c r="A13" s="123" t="s">
        <v>381</v>
      </c>
      <c r="B13" s="123" t="s">
        <v>382</v>
      </c>
      <c r="C13" s="368" t="s">
        <v>437</v>
      </c>
      <c r="D13" s="368" t="s">
        <v>446</v>
      </c>
      <c r="E13" s="368" t="s">
        <v>447</v>
      </c>
      <c r="F13" s="368" t="s">
        <v>383</v>
      </c>
      <c r="G13" s="368" t="s">
        <v>438</v>
      </c>
      <c r="H13" s="368" t="s">
        <v>384</v>
      </c>
      <c r="O13" s="369" t="s">
        <v>2</v>
      </c>
      <c r="P13" s="369" t="s">
        <v>3</v>
      </c>
      <c r="Q13" s="369" t="s">
        <v>4</v>
      </c>
      <c r="R13" s="369" t="s">
        <v>5</v>
      </c>
      <c r="S13" s="369" t="s">
        <v>6</v>
      </c>
      <c r="T13" s="369" t="s">
        <v>2</v>
      </c>
      <c r="U13" s="369" t="s">
        <v>3</v>
      </c>
      <c r="V13" s="369" t="s">
        <v>4</v>
      </c>
      <c r="W13" s="369" t="s">
        <v>5</v>
      </c>
      <c r="X13" s="369" t="s">
        <v>6</v>
      </c>
    </row>
    <row r="14" spans="1:26" x14ac:dyDescent="0.2">
      <c r="A14" s="480" t="s">
        <v>385</v>
      </c>
      <c r="B14" s="239" t="s">
        <v>166</v>
      </c>
      <c r="C14" s="370">
        <v>0.4</v>
      </c>
      <c r="D14" s="93">
        <f t="shared" ref="D14:D22" si="3">$B$9*C14</f>
        <v>0</v>
      </c>
      <c r="E14" s="371">
        <v>15</v>
      </c>
      <c r="F14" s="93">
        <f>D14*E14</f>
        <v>0</v>
      </c>
      <c r="G14" s="260">
        <v>0.1</v>
      </c>
      <c r="H14" s="93">
        <f>(F14-F14*G14)</f>
        <v>0</v>
      </c>
      <c r="J14" s="92">
        <f>$D$14*J12</f>
        <v>0</v>
      </c>
      <c r="K14" s="92">
        <f>$D$14*K12</f>
        <v>0</v>
      </c>
      <c r="L14" s="92">
        <f>$D$14*L12</f>
        <v>0</v>
      </c>
      <c r="M14" s="92">
        <f>$D$14*M12</f>
        <v>0</v>
      </c>
      <c r="N14" s="92">
        <f>$D$14*N12</f>
        <v>0</v>
      </c>
    </row>
    <row r="15" spans="1:26" x14ac:dyDescent="0.2">
      <c r="A15" s="481"/>
      <c r="B15" s="239" t="s">
        <v>468</v>
      </c>
      <c r="C15" s="370">
        <v>0.25</v>
      </c>
      <c r="D15" s="93">
        <f t="shared" si="3"/>
        <v>0</v>
      </c>
      <c r="E15" s="371">
        <v>7</v>
      </c>
      <c r="F15" s="93">
        <f t="shared" ref="F15:F36" si="4">D15*E15</f>
        <v>0</v>
      </c>
      <c r="G15" s="260">
        <v>0.05</v>
      </c>
      <c r="H15" s="93">
        <f>(F15-F15*G15)</f>
        <v>0</v>
      </c>
    </row>
    <row r="16" spans="1:26" x14ac:dyDescent="0.2">
      <c r="A16" s="481"/>
      <c r="B16" s="239" t="s">
        <v>467</v>
      </c>
      <c r="C16" s="370">
        <v>0</v>
      </c>
      <c r="D16" s="93">
        <f t="shared" si="3"/>
        <v>0</v>
      </c>
      <c r="E16" s="371">
        <v>4</v>
      </c>
      <c r="F16" s="93">
        <f t="shared" si="4"/>
        <v>0</v>
      </c>
      <c r="G16" s="260">
        <v>0</v>
      </c>
      <c r="H16" s="93">
        <f t="shared" ref="H16:H36" si="5">(F16-F16*G16)</f>
        <v>0</v>
      </c>
    </row>
    <row r="17" spans="1:8" x14ac:dyDescent="0.2">
      <c r="A17" s="481"/>
      <c r="B17" s="239" t="s">
        <v>465</v>
      </c>
      <c r="C17" s="370">
        <v>0.1</v>
      </c>
      <c r="D17" s="93">
        <f t="shared" si="3"/>
        <v>0</v>
      </c>
      <c r="E17" s="371">
        <v>7</v>
      </c>
      <c r="F17" s="93">
        <f t="shared" si="4"/>
        <v>0</v>
      </c>
      <c r="G17" s="260">
        <v>0.02</v>
      </c>
      <c r="H17" s="93">
        <f t="shared" si="5"/>
        <v>0</v>
      </c>
    </row>
    <row r="18" spans="1:8" x14ac:dyDescent="0.2">
      <c r="A18" s="481"/>
      <c r="B18" s="239" t="s">
        <v>386</v>
      </c>
      <c r="C18" s="370">
        <v>0</v>
      </c>
      <c r="D18" s="93">
        <f t="shared" si="3"/>
        <v>0</v>
      </c>
      <c r="E18" s="371">
        <v>20</v>
      </c>
      <c r="F18" s="93">
        <f t="shared" si="4"/>
        <v>0</v>
      </c>
      <c r="G18" s="260">
        <v>0</v>
      </c>
      <c r="H18" s="93">
        <f t="shared" si="5"/>
        <v>0</v>
      </c>
    </row>
    <row r="19" spans="1:8" x14ac:dyDescent="0.2">
      <c r="A19" s="481"/>
      <c r="B19" s="239" t="s">
        <v>466</v>
      </c>
      <c r="C19" s="370">
        <v>0.1</v>
      </c>
      <c r="D19" s="93">
        <f t="shared" si="3"/>
        <v>0</v>
      </c>
      <c r="E19" s="371">
        <v>7</v>
      </c>
      <c r="F19" s="93">
        <f t="shared" si="4"/>
        <v>0</v>
      </c>
      <c r="G19" s="260">
        <v>0.1</v>
      </c>
      <c r="H19" s="93">
        <f t="shared" si="5"/>
        <v>0</v>
      </c>
    </row>
    <row r="20" spans="1:8" x14ac:dyDescent="0.2">
      <c r="A20" s="481"/>
      <c r="B20" s="239" t="s">
        <v>459</v>
      </c>
      <c r="C20" s="370">
        <v>0</v>
      </c>
      <c r="D20" s="93">
        <f t="shared" si="3"/>
        <v>0</v>
      </c>
      <c r="E20" s="371">
        <v>6</v>
      </c>
      <c r="F20" s="93">
        <f t="shared" si="4"/>
        <v>0</v>
      </c>
      <c r="G20" s="260">
        <v>0.02</v>
      </c>
      <c r="H20" s="93">
        <f t="shared" si="5"/>
        <v>0</v>
      </c>
    </row>
    <row r="21" spans="1:8" x14ac:dyDescent="0.2">
      <c r="A21" s="481"/>
      <c r="B21" s="239" t="s">
        <v>390</v>
      </c>
      <c r="C21" s="370">
        <v>0</v>
      </c>
      <c r="D21" s="93">
        <f t="shared" si="3"/>
        <v>0</v>
      </c>
      <c r="E21" s="371"/>
      <c r="F21" s="93">
        <f t="shared" si="4"/>
        <v>0</v>
      </c>
      <c r="G21" s="260">
        <v>0</v>
      </c>
      <c r="H21" s="93">
        <f t="shared" si="5"/>
        <v>0</v>
      </c>
    </row>
    <row r="22" spans="1:8" x14ac:dyDescent="0.2">
      <c r="A22" s="482"/>
      <c r="B22" s="239" t="s">
        <v>469</v>
      </c>
      <c r="C22" s="370">
        <v>0</v>
      </c>
      <c r="D22" s="93">
        <f t="shared" si="3"/>
        <v>0</v>
      </c>
      <c r="E22" s="371"/>
      <c r="F22" s="93">
        <f t="shared" si="4"/>
        <v>0</v>
      </c>
      <c r="G22" s="260">
        <v>0</v>
      </c>
      <c r="H22" s="93">
        <f t="shared" si="5"/>
        <v>0</v>
      </c>
    </row>
    <row r="23" spans="1:8" x14ac:dyDescent="0.2">
      <c r="A23" s="372" t="s">
        <v>473</v>
      </c>
      <c r="B23" s="262">
        <v>0.3</v>
      </c>
      <c r="C23" s="373">
        <f>B9*B23</f>
        <v>0</v>
      </c>
      <c r="D23" s="93"/>
      <c r="E23" s="371"/>
      <c r="F23" s="93"/>
      <c r="G23" s="260"/>
      <c r="H23" s="93"/>
    </row>
    <row r="24" spans="1:8" x14ac:dyDescent="0.2">
      <c r="A24" s="480" t="s">
        <v>387</v>
      </c>
      <c r="B24" s="239" t="s">
        <v>388</v>
      </c>
      <c r="C24" s="370">
        <v>0</v>
      </c>
      <c r="D24" s="93">
        <f>C$23*C24</f>
        <v>0</v>
      </c>
      <c r="E24" s="371">
        <v>10</v>
      </c>
      <c r="F24" s="93">
        <f t="shared" si="4"/>
        <v>0</v>
      </c>
      <c r="G24" s="260">
        <v>0.1</v>
      </c>
      <c r="H24" s="93">
        <f t="shared" si="5"/>
        <v>0</v>
      </c>
    </row>
    <row r="25" spans="1:8" x14ac:dyDescent="0.2">
      <c r="A25" s="481"/>
      <c r="B25" s="239" t="s">
        <v>389</v>
      </c>
      <c r="C25" s="370">
        <v>0.4</v>
      </c>
      <c r="D25" s="93">
        <f>C$23*C25</f>
        <v>0</v>
      </c>
      <c r="E25" s="371">
        <v>10</v>
      </c>
      <c r="F25" s="93">
        <f t="shared" si="4"/>
        <v>0</v>
      </c>
      <c r="G25" s="260">
        <v>0.1</v>
      </c>
      <c r="H25" s="93">
        <f t="shared" si="5"/>
        <v>0</v>
      </c>
    </row>
    <row r="26" spans="1:8" x14ac:dyDescent="0.2">
      <c r="A26" s="481"/>
      <c r="B26" s="239" t="s">
        <v>390</v>
      </c>
      <c r="C26" s="370">
        <v>0</v>
      </c>
      <c r="D26" s="93">
        <f>C$23*C26</f>
        <v>0</v>
      </c>
      <c r="E26" s="371">
        <v>10</v>
      </c>
      <c r="F26" s="93">
        <f t="shared" si="4"/>
        <v>0</v>
      </c>
      <c r="G26" s="260">
        <v>0.05</v>
      </c>
      <c r="H26" s="93">
        <f t="shared" si="5"/>
        <v>0</v>
      </c>
    </row>
    <row r="27" spans="1:8" x14ac:dyDescent="0.2">
      <c r="A27" s="481"/>
      <c r="B27" s="239" t="s">
        <v>386</v>
      </c>
      <c r="C27" s="370">
        <v>0</v>
      </c>
      <c r="D27" s="93">
        <f t="shared" ref="D27:D31" si="6">C$23*C27</f>
        <v>0</v>
      </c>
      <c r="E27" s="371">
        <v>20</v>
      </c>
      <c r="F27" s="93">
        <f t="shared" si="4"/>
        <v>0</v>
      </c>
      <c r="G27" s="260">
        <v>0</v>
      </c>
      <c r="H27" s="93">
        <f t="shared" si="5"/>
        <v>0</v>
      </c>
    </row>
    <row r="28" spans="1:8" x14ac:dyDescent="0.2">
      <c r="A28" s="481"/>
      <c r="B28" s="239" t="s">
        <v>470</v>
      </c>
      <c r="C28" s="370">
        <v>0</v>
      </c>
      <c r="D28" s="93">
        <f t="shared" si="6"/>
        <v>0</v>
      </c>
      <c r="E28" s="371"/>
      <c r="F28" s="93">
        <f t="shared" si="4"/>
        <v>0</v>
      </c>
      <c r="G28" s="260">
        <v>0</v>
      </c>
      <c r="H28" s="93">
        <f t="shared" si="5"/>
        <v>0</v>
      </c>
    </row>
    <row r="29" spans="1:8" x14ac:dyDescent="0.2">
      <c r="A29" s="481"/>
      <c r="B29" s="239"/>
      <c r="C29" s="370">
        <v>0</v>
      </c>
      <c r="D29" s="93">
        <f t="shared" si="6"/>
        <v>0</v>
      </c>
      <c r="E29" s="371"/>
      <c r="F29" s="93">
        <f t="shared" si="4"/>
        <v>0</v>
      </c>
      <c r="G29" s="260">
        <v>0</v>
      </c>
      <c r="H29" s="93">
        <f t="shared" si="5"/>
        <v>0</v>
      </c>
    </row>
    <row r="30" spans="1:8" x14ac:dyDescent="0.2">
      <c r="A30" s="481"/>
      <c r="B30" s="239"/>
      <c r="C30" s="370">
        <v>0</v>
      </c>
      <c r="D30" s="93">
        <f t="shared" si="6"/>
        <v>0</v>
      </c>
      <c r="E30" s="371"/>
      <c r="F30" s="93">
        <f t="shared" si="4"/>
        <v>0</v>
      </c>
      <c r="G30" s="260">
        <v>0</v>
      </c>
      <c r="H30" s="93">
        <f t="shared" si="5"/>
        <v>0</v>
      </c>
    </row>
    <row r="31" spans="1:8" x14ac:dyDescent="0.2">
      <c r="A31" s="482"/>
      <c r="B31" s="239"/>
      <c r="C31" s="370">
        <v>0</v>
      </c>
      <c r="D31" s="93">
        <f t="shared" si="6"/>
        <v>0</v>
      </c>
      <c r="E31" s="371"/>
      <c r="F31" s="93">
        <f t="shared" si="4"/>
        <v>0</v>
      </c>
      <c r="G31" s="260">
        <v>0</v>
      </c>
      <c r="H31" s="93">
        <f t="shared" si="5"/>
        <v>0</v>
      </c>
    </row>
    <row r="32" spans="1:8" x14ac:dyDescent="0.2">
      <c r="A32" s="372" t="s">
        <v>472</v>
      </c>
      <c r="B32" s="262">
        <v>0.05</v>
      </c>
      <c r="C32" s="93">
        <f>B9*B32</f>
        <v>0</v>
      </c>
      <c r="D32" s="93"/>
      <c r="E32" s="371"/>
      <c r="F32" s="93"/>
      <c r="G32" s="260"/>
      <c r="H32" s="93"/>
    </row>
    <row r="33" spans="1:10" x14ac:dyDescent="0.2">
      <c r="A33" s="374" t="s">
        <v>450</v>
      </c>
      <c r="B33" s="239" t="s">
        <v>471</v>
      </c>
      <c r="C33" s="370">
        <v>0</v>
      </c>
      <c r="D33" s="93">
        <f>C$32*C33</f>
        <v>0</v>
      </c>
      <c r="E33" s="371"/>
      <c r="F33" s="93">
        <f t="shared" si="4"/>
        <v>0</v>
      </c>
      <c r="G33" s="260">
        <v>0</v>
      </c>
      <c r="H33" s="93">
        <f t="shared" si="5"/>
        <v>0</v>
      </c>
    </row>
    <row r="34" spans="1:10" x14ac:dyDescent="0.2">
      <c r="A34" s="375"/>
      <c r="B34" s="239"/>
      <c r="C34" s="370">
        <v>0</v>
      </c>
      <c r="D34" s="93">
        <f>C$32*C34</f>
        <v>0</v>
      </c>
      <c r="E34" s="371"/>
      <c r="F34" s="93">
        <f t="shared" si="4"/>
        <v>0</v>
      </c>
      <c r="G34" s="260">
        <v>0</v>
      </c>
      <c r="H34" s="93">
        <f t="shared" si="5"/>
        <v>0</v>
      </c>
    </row>
    <row r="35" spans="1:10" x14ac:dyDescent="0.2">
      <c r="A35" s="375"/>
      <c r="B35" s="239"/>
      <c r="C35" s="370">
        <v>0</v>
      </c>
      <c r="D35" s="93">
        <f>C$32*C35</f>
        <v>0</v>
      </c>
      <c r="E35" s="371"/>
      <c r="F35" s="93">
        <f t="shared" si="4"/>
        <v>0</v>
      </c>
      <c r="G35" s="260">
        <v>0</v>
      </c>
      <c r="H35" s="93">
        <f t="shared" si="5"/>
        <v>0</v>
      </c>
    </row>
    <row r="36" spans="1:10" x14ac:dyDescent="0.2">
      <c r="A36" s="376"/>
      <c r="B36" s="239"/>
      <c r="C36" s="370">
        <v>0</v>
      </c>
      <c r="D36" s="93">
        <f>C$32*C36</f>
        <v>0</v>
      </c>
      <c r="E36" s="371"/>
      <c r="F36" s="93">
        <f t="shared" si="4"/>
        <v>0</v>
      </c>
      <c r="G36" s="260">
        <v>0</v>
      </c>
      <c r="H36" s="93">
        <f t="shared" si="5"/>
        <v>0</v>
      </c>
    </row>
    <row r="37" spans="1:10" x14ac:dyDescent="0.2">
      <c r="A37" s="479" t="s">
        <v>391</v>
      </c>
      <c r="B37" s="479"/>
      <c r="C37" s="479"/>
      <c r="D37" s="479"/>
      <c r="E37" s="479"/>
      <c r="F37" s="479"/>
      <c r="G37" s="479"/>
      <c r="H37" s="479"/>
    </row>
    <row r="39" spans="1:10" ht="18.75" x14ac:dyDescent="0.25">
      <c r="A39" s="483" t="s">
        <v>565</v>
      </c>
      <c r="B39" s="484"/>
      <c r="C39" s="484"/>
      <c r="D39" s="484"/>
      <c r="E39" s="484"/>
      <c r="F39" s="484"/>
      <c r="G39" s="484"/>
      <c r="H39" s="485"/>
    </row>
    <row r="40" spans="1:10" x14ac:dyDescent="0.2">
      <c r="A40" s="486" t="s">
        <v>0</v>
      </c>
      <c r="B40" s="377">
        <v>0.3</v>
      </c>
      <c r="C40" s="377">
        <f>B40+0.05</f>
        <v>0.35</v>
      </c>
      <c r="D40" s="377">
        <f t="shared" ref="D40:G40" si="7">C40+0.05</f>
        <v>0.39999999999999997</v>
      </c>
      <c r="E40" s="377">
        <f t="shared" si="7"/>
        <v>0.44999999999999996</v>
      </c>
      <c r="F40" s="377">
        <f t="shared" si="7"/>
        <v>0.49999999999999994</v>
      </c>
      <c r="G40" s="377">
        <f t="shared" si="7"/>
        <v>0.54999999999999993</v>
      </c>
      <c r="H40" s="377">
        <f>G40+0.05</f>
        <v>0.6</v>
      </c>
    </row>
    <row r="41" spans="1:10" x14ac:dyDescent="0.2">
      <c r="A41" s="487"/>
      <c r="B41" s="139" t="s">
        <v>2</v>
      </c>
      <c r="C41" s="139" t="s">
        <v>3</v>
      </c>
      <c r="D41" s="139" t="s">
        <v>4</v>
      </c>
      <c r="E41" s="139" t="s">
        <v>5</v>
      </c>
      <c r="F41" s="139" t="s">
        <v>6</v>
      </c>
      <c r="G41" s="139" t="s">
        <v>168</v>
      </c>
      <c r="H41" s="139" t="s">
        <v>167</v>
      </c>
    </row>
    <row r="42" spans="1:10" x14ac:dyDescent="0.2">
      <c r="A42" s="93" t="str">
        <f t="shared" ref="A42:A50" si="8">B14</f>
        <v>Soybean</v>
      </c>
      <c r="B42" s="93">
        <f t="shared" ref="B42:B50" si="9">H14*$B$40</f>
        <v>0</v>
      </c>
      <c r="C42" s="93">
        <f t="shared" ref="C42:H51" si="10">(B42/B$40)*C$40</f>
        <v>0</v>
      </c>
      <c r="D42" s="93">
        <f t="shared" si="10"/>
        <v>0</v>
      </c>
      <c r="E42" s="93">
        <f t="shared" si="10"/>
        <v>0</v>
      </c>
      <c r="F42" s="93">
        <f t="shared" si="10"/>
        <v>0</v>
      </c>
      <c r="G42" s="93">
        <f t="shared" si="10"/>
        <v>0</v>
      </c>
      <c r="H42" s="93">
        <f t="shared" si="10"/>
        <v>0</v>
      </c>
      <c r="I42" s="378"/>
      <c r="J42" s="378"/>
    </row>
    <row r="43" spans="1:10" x14ac:dyDescent="0.2">
      <c r="A43" s="93" t="str">
        <f t="shared" si="8"/>
        <v>Red Gram/Tur</v>
      </c>
      <c r="B43" s="93">
        <f t="shared" si="9"/>
        <v>0</v>
      </c>
      <c r="C43" s="93">
        <f t="shared" si="10"/>
        <v>0</v>
      </c>
      <c r="D43" s="93">
        <f t="shared" si="10"/>
        <v>0</v>
      </c>
      <c r="E43" s="93">
        <f t="shared" si="10"/>
        <v>0</v>
      </c>
      <c r="F43" s="93">
        <f t="shared" si="10"/>
        <v>0</v>
      </c>
      <c r="G43" s="93">
        <f t="shared" si="10"/>
        <v>0</v>
      </c>
      <c r="H43" s="93">
        <f t="shared" si="10"/>
        <v>0</v>
      </c>
    </row>
    <row r="44" spans="1:10" x14ac:dyDescent="0.2">
      <c r="A44" s="93" t="str">
        <f t="shared" si="8"/>
        <v>Paddy/Rice</v>
      </c>
      <c r="B44" s="93">
        <f t="shared" si="9"/>
        <v>0</v>
      </c>
      <c r="C44" s="93">
        <f t="shared" si="10"/>
        <v>0</v>
      </c>
      <c r="D44" s="93">
        <f t="shared" si="10"/>
        <v>0</v>
      </c>
      <c r="E44" s="93">
        <f t="shared" si="10"/>
        <v>0</v>
      </c>
      <c r="F44" s="93">
        <f t="shared" si="10"/>
        <v>0</v>
      </c>
      <c r="G44" s="93">
        <f t="shared" si="10"/>
        <v>0</v>
      </c>
      <c r="H44" s="93">
        <f t="shared" si="10"/>
        <v>0</v>
      </c>
    </row>
    <row r="45" spans="1:10" x14ac:dyDescent="0.2">
      <c r="A45" s="93" t="str">
        <f t="shared" si="8"/>
        <v>Green Gram/ Moong</v>
      </c>
      <c r="B45" s="93">
        <f t="shared" si="9"/>
        <v>0</v>
      </c>
      <c r="C45" s="93">
        <f t="shared" si="10"/>
        <v>0</v>
      </c>
      <c r="D45" s="93">
        <f t="shared" si="10"/>
        <v>0</v>
      </c>
      <c r="E45" s="93">
        <f t="shared" si="10"/>
        <v>0</v>
      </c>
      <c r="F45" s="93">
        <f t="shared" si="10"/>
        <v>0</v>
      </c>
      <c r="G45" s="93">
        <f t="shared" si="10"/>
        <v>0</v>
      </c>
      <c r="H45" s="93">
        <f t="shared" si="10"/>
        <v>0</v>
      </c>
    </row>
    <row r="46" spans="1:10" x14ac:dyDescent="0.2">
      <c r="A46" s="93" t="str">
        <f t="shared" si="8"/>
        <v>Maize</v>
      </c>
      <c r="B46" s="93">
        <f t="shared" si="9"/>
        <v>0</v>
      </c>
      <c r="C46" s="93">
        <f t="shared" si="10"/>
        <v>0</v>
      </c>
      <c r="D46" s="93">
        <f t="shared" si="10"/>
        <v>0</v>
      </c>
      <c r="E46" s="93">
        <f t="shared" si="10"/>
        <v>0</v>
      </c>
      <c r="F46" s="93">
        <f t="shared" si="10"/>
        <v>0</v>
      </c>
      <c r="G46" s="93">
        <f t="shared" si="10"/>
        <v>0</v>
      </c>
      <c r="H46" s="93">
        <f t="shared" si="10"/>
        <v>0</v>
      </c>
    </row>
    <row r="47" spans="1:10" x14ac:dyDescent="0.2">
      <c r="A47" s="93" t="str">
        <f t="shared" si="8"/>
        <v>Black Gram/Udid</v>
      </c>
      <c r="B47" s="93">
        <f t="shared" si="9"/>
        <v>0</v>
      </c>
      <c r="C47" s="93">
        <f t="shared" si="10"/>
        <v>0</v>
      </c>
      <c r="D47" s="93">
        <f t="shared" si="10"/>
        <v>0</v>
      </c>
      <c r="E47" s="93">
        <f t="shared" si="10"/>
        <v>0</v>
      </c>
      <c r="F47" s="93">
        <f t="shared" si="10"/>
        <v>0</v>
      </c>
      <c r="G47" s="93">
        <f t="shared" si="10"/>
        <v>0</v>
      </c>
      <c r="H47" s="93">
        <f t="shared" si="10"/>
        <v>0</v>
      </c>
    </row>
    <row r="48" spans="1:10" x14ac:dyDescent="0.2">
      <c r="A48" s="93" t="str">
        <f t="shared" si="8"/>
        <v>Bajra</v>
      </c>
      <c r="B48" s="93">
        <f t="shared" si="9"/>
        <v>0</v>
      </c>
      <c r="C48" s="93">
        <f t="shared" si="10"/>
        <v>0</v>
      </c>
      <c r="D48" s="93">
        <f t="shared" si="10"/>
        <v>0</v>
      </c>
      <c r="E48" s="93">
        <f t="shared" si="10"/>
        <v>0</v>
      </c>
      <c r="F48" s="93">
        <f t="shared" si="10"/>
        <v>0</v>
      </c>
      <c r="G48" s="93">
        <f t="shared" si="10"/>
        <v>0</v>
      </c>
      <c r="H48" s="93">
        <f t="shared" si="10"/>
        <v>0</v>
      </c>
    </row>
    <row r="49" spans="1:8" x14ac:dyDescent="0.2">
      <c r="A49" s="93" t="str">
        <f t="shared" si="8"/>
        <v>Jawar</v>
      </c>
      <c r="B49" s="93">
        <f t="shared" si="9"/>
        <v>0</v>
      </c>
      <c r="C49" s="93">
        <f t="shared" si="10"/>
        <v>0</v>
      </c>
      <c r="D49" s="93">
        <f t="shared" si="10"/>
        <v>0</v>
      </c>
      <c r="E49" s="93">
        <f t="shared" si="10"/>
        <v>0</v>
      </c>
      <c r="F49" s="93">
        <f t="shared" si="10"/>
        <v>0</v>
      </c>
      <c r="G49" s="93">
        <f t="shared" si="10"/>
        <v>0</v>
      </c>
      <c r="H49" s="93">
        <f t="shared" si="10"/>
        <v>0</v>
      </c>
    </row>
    <row r="50" spans="1:8" x14ac:dyDescent="0.2">
      <c r="A50" s="93" t="str">
        <f t="shared" si="8"/>
        <v>Sunflower</v>
      </c>
      <c r="B50" s="93">
        <f t="shared" si="9"/>
        <v>0</v>
      </c>
      <c r="C50" s="93">
        <f t="shared" si="10"/>
        <v>0</v>
      </c>
      <c r="D50" s="93">
        <f t="shared" si="10"/>
        <v>0</v>
      </c>
      <c r="E50" s="93">
        <f t="shared" si="10"/>
        <v>0</v>
      </c>
      <c r="F50" s="93">
        <f t="shared" si="10"/>
        <v>0</v>
      </c>
      <c r="G50" s="93">
        <f t="shared" si="10"/>
        <v>0</v>
      </c>
      <c r="H50" s="93">
        <f t="shared" si="10"/>
        <v>0</v>
      </c>
    </row>
    <row r="51" spans="1:8" x14ac:dyDescent="0.2">
      <c r="A51" s="93" t="str">
        <f t="shared" ref="A51:A58" si="11">B24</f>
        <v>Wheat</v>
      </c>
      <c r="B51" s="93">
        <f t="shared" ref="B51:B58" si="12">H24*$B$40</f>
        <v>0</v>
      </c>
      <c r="C51" s="93">
        <f t="shared" si="10"/>
        <v>0</v>
      </c>
      <c r="D51" s="93">
        <f t="shared" si="10"/>
        <v>0</v>
      </c>
      <c r="E51" s="93">
        <f t="shared" si="10"/>
        <v>0</v>
      </c>
      <c r="F51" s="93">
        <f t="shared" si="10"/>
        <v>0</v>
      </c>
      <c r="G51" s="93">
        <f t="shared" si="10"/>
        <v>0</v>
      </c>
      <c r="H51" s="93">
        <f t="shared" si="10"/>
        <v>0</v>
      </c>
    </row>
    <row r="52" spans="1:8" x14ac:dyDescent="0.2">
      <c r="A52" s="93" t="str">
        <f t="shared" si="11"/>
        <v>Bengal Gram/Channa</v>
      </c>
      <c r="B52" s="93">
        <f t="shared" si="12"/>
        <v>0</v>
      </c>
      <c r="C52" s="93">
        <f t="shared" ref="C52:H61" si="13">(B52/B$40)*C$40</f>
        <v>0</v>
      </c>
      <c r="D52" s="93">
        <f t="shared" si="13"/>
        <v>0</v>
      </c>
      <c r="E52" s="93">
        <f t="shared" si="13"/>
        <v>0</v>
      </c>
      <c r="F52" s="93">
        <f t="shared" si="13"/>
        <v>0</v>
      </c>
      <c r="G52" s="93">
        <f t="shared" si="13"/>
        <v>0</v>
      </c>
      <c r="H52" s="93">
        <f t="shared" si="13"/>
        <v>0</v>
      </c>
    </row>
    <row r="53" spans="1:8" x14ac:dyDescent="0.2">
      <c r="A53" s="93" t="str">
        <f t="shared" si="11"/>
        <v>Jawar</v>
      </c>
      <c r="B53" s="93">
        <f t="shared" si="12"/>
        <v>0</v>
      </c>
      <c r="C53" s="93">
        <f t="shared" si="13"/>
        <v>0</v>
      </c>
      <c r="D53" s="93">
        <f t="shared" si="13"/>
        <v>0</v>
      </c>
      <c r="E53" s="93">
        <f t="shared" si="13"/>
        <v>0</v>
      </c>
      <c r="F53" s="93">
        <f t="shared" si="13"/>
        <v>0</v>
      </c>
      <c r="G53" s="93">
        <f t="shared" si="13"/>
        <v>0</v>
      </c>
      <c r="H53" s="93">
        <f t="shared" si="13"/>
        <v>0</v>
      </c>
    </row>
    <row r="54" spans="1:8" x14ac:dyDescent="0.2">
      <c r="A54" s="93" t="str">
        <f t="shared" si="11"/>
        <v>Maize</v>
      </c>
      <c r="B54" s="93">
        <f t="shared" si="12"/>
        <v>0</v>
      </c>
      <c r="C54" s="93">
        <f t="shared" si="13"/>
        <v>0</v>
      </c>
      <c r="D54" s="93">
        <f t="shared" si="13"/>
        <v>0</v>
      </c>
      <c r="E54" s="93">
        <f t="shared" si="13"/>
        <v>0</v>
      </c>
      <c r="F54" s="93">
        <f t="shared" si="13"/>
        <v>0</v>
      </c>
      <c r="G54" s="93">
        <f t="shared" si="13"/>
        <v>0</v>
      </c>
      <c r="H54" s="93">
        <f t="shared" si="13"/>
        <v>0</v>
      </c>
    </row>
    <row r="55" spans="1:8" x14ac:dyDescent="0.2">
      <c r="A55" s="93" t="str">
        <f t="shared" si="11"/>
        <v>Safflower</v>
      </c>
      <c r="B55" s="93">
        <f t="shared" si="12"/>
        <v>0</v>
      </c>
      <c r="C55" s="93">
        <f t="shared" si="13"/>
        <v>0</v>
      </c>
      <c r="D55" s="93">
        <f t="shared" si="13"/>
        <v>0</v>
      </c>
      <c r="E55" s="93">
        <f t="shared" si="13"/>
        <v>0</v>
      </c>
      <c r="F55" s="93">
        <f t="shared" si="13"/>
        <v>0</v>
      </c>
      <c r="G55" s="93">
        <f t="shared" si="13"/>
        <v>0</v>
      </c>
      <c r="H55" s="93">
        <f t="shared" si="13"/>
        <v>0</v>
      </c>
    </row>
    <row r="56" spans="1:8" x14ac:dyDescent="0.2">
      <c r="A56" s="93">
        <f t="shared" si="11"/>
        <v>0</v>
      </c>
      <c r="B56" s="93">
        <f t="shared" si="12"/>
        <v>0</v>
      </c>
      <c r="C56" s="93">
        <f t="shared" si="13"/>
        <v>0</v>
      </c>
      <c r="D56" s="93">
        <f t="shared" si="13"/>
        <v>0</v>
      </c>
      <c r="E56" s="93">
        <f t="shared" si="13"/>
        <v>0</v>
      </c>
      <c r="F56" s="93">
        <f t="shared" si="13"/>
        <v>0</v>
      </c>
      <c r="G56" s="93">
        <f t="shared" si="13"/>
        <v>0</v>
      </c>
      <c r="H56" s="93">
        <f t="shared" si="13"/>
        <v>0</v>
      </c>
    </row>
    <row r="57" spans="1:8" x14ac:dyDescent="0.2">
      <c r="A57" s="93">
        <f t="shared" si="11"/>
        <v>0</v>
      </c>
      <c r="B57" s="93">
        <f t="shared" si="12"/>
        <v>0</v>
      </c>
      <c r="C57" s="93">
        <f t="shared" si="13"/>
        <v>0</v>
      </c>
      <c r="D57" s="93">
        <f t="shared" si="13"/>
        <v>0</v>
      </c>
      <c r="E57" s="93">
        <f t="shared" si="13"/>
        <v>0</v>
      </c>
      <c r="F57" s="93">
        <f t="shared" si="13"/>
        <v>0</v>
      </c>
      <c r="G57" s="93">
        <f t="shared" si="13"/>
        <v>0</v>
      </c>
      <c r="H57" s="93">
        <f t="shared" si="13"/>
        <v>0</v>
      </c>
    </row>
    <row r="58" spans="1:8" x14ac:dyDescent="0.2">
      <c r="A58" s="93">
        <f t="shared" si="11"/>
        <v>0</v>
      </c>
      <c r="B58" s="93">
        <f t="shared" si="12"/>
        <v>0</v>
      </c>
      <c r="C58" s="93">
        <f t="shared" si="13"/>
        <v>0</v>
      </c>
      <c r="D58" s="93">
        <f t="shared" si="13"/>
        <v>0</v>
      </c>
      <c r="E58" s="93">
        <f t="shared" si="13"/>
        <v>0</v>
      </c>
      <c r="F58" s="93">
        <f t="shared" si="13"/>
        <v>0</v>
      </c>
      <c r="G58" s="93">
        <f t="shared" si="13"/>
        <v>0</v>
      </c>
      <c r="H58" s="93">
        <f t="shared" si="13"/>
        <v>0</v>
      </c>
    </row>
    <row r="59" spans="1:8" x14ac:dyDescent="0.2">
      <c r="A59" s="93" t="str">
        <f>B33</f>
        <v>Groundnut</v>
      </c>
      <c r="B59" s="93">
        <f>H33*$B$40</f>
        <v>0</v>
      </c>
      <c r="C59" s="93">
        <f t="shared" si="13"/>
        <v>0</v>
      </c>
      <c r="D59" s="93">
        <f t="shared" si="13"/>
        <v>0</v>
      </c>
      <c r="E59" s="93">
        <f t="shared" si="13"/>
        <v>0</v>
      </c>
      <c r="F59" s="93">
        <f t="shared" si="13"/>
        <v>0</v>
      </c>
      <c r="G59" s="93">
        <f t="shared" si="13"/>
        <v>0</v>
      </c>
      <c r="H59" s="93">
        <f t="shared" si="13"/>
        <v>0</v>
      </c>
    </row>
    <row r="60" spans="1:8" x14ac:dyDescent="0.2">
      <c r="A60" s="93">
        <f>B34</f>
        <v>0</v>
      </c>
      <c r="B60" s="93">
        <f>H34*$B$40</f>
        <v>0</v>
      </c>
      <c r="C60" s="93">
        <f t="shared" si="13"/>
        <v>0</v>
      </c>
      <c r="D60" s="93">
        <f t="shared" si="13"/>
        <v>0</v>
      </c>
      <c r="E60" s="93">
        <f t="shared" si="13"/>
        <v>0</v>
      </c>
      <c r="F60" s="93">
        <f t="shared" si="13"/>
        <v>0</v>
      </c>
      <c r="G60" s="93">
        <f t="shared" si="13"/>
        <v>0</v>
      </c>
      <c r="H60" s="93">
        <f t="shared" si="13"/>
        <v>0</v>
      </c>
    </row>
    <row r="61" spans="1:8" x14ac:dyDescent="0.2">
      <c r="A61" s="93">
        <f>B35</f>
        <v>0</v>
      </c>
      <c r="B61" s="93">
        <f>H35*$B$40</f>
        <v>0</v>
      </c>
      <c r="C61" s="93">
        <f t="shared" si="13"/>
        <v>0</v>
      </c>
      <c r="D61" s="93">
        <f t="shared" si="13"/>
        <v>0</v>
      </c>
      <c r="E61" s="93">
        <f t="shared" si="13"/>
        <v>0</v>
      </c>
      <c r="F61" s="93">
        <f t="shared" si="13"/>
        <v>0</v>
      </c>
      <c r="G61" s="93">
        <f t="shared" si="13"/>
        <v>0</v>
      </c>
      <c r="H61" s="93">
        <f t="shared" si="13"/>
        <v>0</v>
      </c>
    </row>
    <row r="62" spans="1:8" x14ac:dyDescent="0.2">
      <c r="A62" s="93">
        <f>B36</f>
        <v>0</v>
      </c>
      <c r="B62" s="93">
        <f>H36*$B$40</f>
        <v>0</v>
      </c>
      <c r="C62" s="93">
        <f t="shared" ref="C62:H62" si="14">(B62/B$40)*C$40</f>
        <v>0</v>
      </c>
      <c r="D62" s="93">
        <f t="shared" si="14"/>
        <v>0</v>
      </c>
      <c r="E62" s="93">
        <f t="shared" si="14"/>
        <v>0</v>
      </c>
      <c r="F62" s="93">
        <f t="shared" si="14"/>
        <v>0</v>
      </c>
      <c r="G62" s="93">
        <f t="shared" si="14"/>
        <v>0</v>
      </c>
      <c r="H62" s="93">
        <f t="shared" si="14"/>
        <v>0</v>
      </c>
    </row>
    <row r="64" spans="1:8" ht="18.75" x14ac:dyDescent="0.25">
      <c r="A64" s="488" t="s">
        <v>566</v>
      </c>
      <c r="B64" s="489"/>
      <c r="C64" s="489"/>
      <c r="D64" s="489"/>
      <c r="E64" s="489"/>
      <c r="F64" s="489"/>
      <c r="G64" s="489"/>
      <c r="H64" s="490"/>
    </row>
    <row r="65" spans="1:8" x14ac:dyDescent="0.2">
      <c r="A65" s="491" t="s">
        <v>0</v>
      </c>
      <c r="B65" s="379">
        <v>0.1</v>
      </c>
      <c r="C65" s="379">
        <f>B65+0.05</f>
        <v>0.15000000000000002</v>
      </c>
      <c r="D65" s="379">
        <f t="shared" ref="D65:G65" si="15">C65+0.05</f>
        <v>0.2</v>
      </c>
      <c r="E65" s="379">
        <f t="shared" si="15"/>
        <v>0.25</v>
      </c>
      <c r="F65" s="379">
        <f t="shared" si="15"/>
        <v>0.3</v>
      </c>
      <c r="G65" s="379">
        <f t="shared" si="15"/>
        <v>0.35</v>
      </c>
      <c r="H65" s="379">
        <f>G65+0.05</f>
        <v>0.39999999999999997</v>
      </c>
    </row>
    <row r="66" spans="1:8" x14ac:dyDescent="0.2">
      <c r="A66" s="492"/>
      <c r="B66" s="139" t="s">
        <v>2</v>
      </c>
      <c r="C66" s="139" t="s">
        <v>3</v>
      </c>
      <c r="D66" s="139" t="s">
        <v>4</v>
      </c>
      <c r="E66" s="139" t="s">
        <v>5</v>
      </c>
      <c r="F66" s="139" t="s">
        <v>6</v>
      </c>
      <c r="G66" s="139" t="s">
        <v>168</v>
      </c>
      <c r="H66" s="139" t="s">
        <v>167</v>
      </c>
    </row>
    <row r="67" spans="1:8" x14ac:dyDescent="0.2">
      <c r="A67" s="93" t="str">
        <f t="shared" ref="A67:A87" si="16">A42</f>
        <v>Soybean</v>
      </c>
      <c r="B67" s="93">
        <f>H14*$B$65*0</f>
        <v>0</v>
      </c>
      <c r="C67" s="93">
        <f>(B67/B$65)*C$65</f>
        <v>0</v>
      </c>
      <c r="D67" s="93">
        <f t="shared" ref="D67:H68" si="17">(C67/C$65)*D$65</f>
        <v>0</v>
      </c>
      <c r="E67" s="93">
        <f t="shared" si="17"/>
        <v>0</v>
      </c>
      <c r="F67" s="93">
        <f t="shared" si="17"/>
        <v>0</v>
      </c>
      <c r="G67" s="93">
        <f t="shared" si="17"/>
        <v>0</v>
      </c>
      <c r="H67" s="93">
        <f t="shared" si="17"/>
        <v>0</v>
      </c>
    </row>
    <row r="68" spans="1:8" x14ac:dyDescent="0.2">
      <c r="A68" s="93" t="str">
        <f t="shared" si="16"/>
        <v>Red Gram/Tur</v>
      </c>
      <c r="B68" s="93">
        <f t="shared" ref="B68:B75" si="18">H15*$B$65</f>
        <v>0</v>
      </c>
      <c r="C68" s="93">
        <f>(B68/B$65)*C$65</f>
        <v>0</v>
      </c>
      <c r="D68" s="93">
        <f t="shared" si="17"/>
        <v>0</v>
      </c>
      <c r="E68" s="93">
        <f t="shared" si="17"/>
        <v>0</v>
      </c>
      <c r="F68" s="93">
        <f t="shared" si="17"/>
        <v>0</v>
      </c>
      <c r="G68" s="93">
        <f t="shared" si="17"/>
        <v>0</v>
      </c>
      <c r="H68" s="93">
        <f t="shared" si="17"/>
        <v>0</v>
      </c>
    </row>
    <row r="69" spans="1:8" x14ac:dyDescent="0.2">
      <c r="A69" s="93" t="str">
        <f t="shared" si="16"/>
        <v>Paddy/Rice</v>
      </c>
      <c r="B69" s="93">
        <f t="shared" si="18"/>
        <v>0</v>
      </c>
      <c r="C69" s="93">
        <f t="shared" ref="C69:H69" si="19">(B69/B$65)*C$65</f>
        <v>0</v>
      </c>
      <c r="D69" s="93">
        <f t="shared" si="19"/>
        <v>0</v>
      </c>
      <c r="E69" s="93">
        <f t="shared" si="19"/>
        <v>0</v>
      </c>
      <c r="F69" s="93">
        <f t="shared" si="19"/>
        <v>0</v>
      </c>
      <c r="G69" s="93">
        <f t="shared" si="19"/>
        <v>0</v>
      </c>
      <c r="H69" s="93">
        <f t="shared" si="19"/>
        <v>0</v>
      </c>
    </row>
    <row r="70" spans="1:8" x14ac:dyDescent="0.2">
      <c r="A70" s="93" t="str">
        <f t="shared" si="16"/>
        <v>Green Gram/ Moong</v>
      </c>
      <c r="B70" s="93">
        <f t="shared" si="18"/>
        <v>0</v>
      </c>
      <c r="C70" s="93">
        <f t="shared" ref="C70:H70" si="20">(B70/B$65)*C$65</f>
        <v>0</v>
      </c>
      <c r="D70" s="93">
        <f t="shared" si="20"/>
        <v>0</v>
      </c>
      <c r="E70" s="93">
        <f t="shared" si="20"/>
        <v>0</v>
      </c>
      <c r="F70" s="93">
        <f t="shared" si="20"/>
        <v>0</v>
      </c>
      <c r="G70" s="93">
        <f t="shared" si="20"/>
        <v>0</v>
      </c>
      <c r="H70" s="93">
        <f t="shared" si="20"/>
        <v>0</v>
      </c>
    </row>
    <row r="71" spans="1:8" x14ac:dyDescent="0.2">
      <c r="A71" s="93" t="str">
        <f t="shared" si="16"/>
        <v>Maize</v>
      </c>
      <c r="B71" s="93">
        <f t="shared" si="18"/>
        <v>0</v>
      </c>
      <c r="C71" s="93">
        <f t="shared" ref="C71:H71" si="21">(B71/B$65)*C$65</f>
        <v>0</v>
      </c>
      <c r="D71" s="93">
        <f t="shared" si="21"/>
        <v>0</v>
      </c>
      <c r="E71" s="93">
        <f t="shared" si="21"/>
        <v>0</v>
      </c>
      <c r="F71" s="93">
        <f t="shared" si="21"/>
        <v>0</v>
      </c>
      <c r="G71" s="93">
        <f t="shared" si="21"/>
        <v>0</v>
      </c>
      <c r="H71" s="93">
        <f t="shared" si="21"/>
        <v>0</v>
      </c>
    </row>
    <row r="72" spans="1:8" x14ac:dyDescent="0.2">
      <c r="A72" s="93" t="str">
        <f t="shared" si="16"/>
        <v>Black Gram/Udid</v>
      </c>
      <c r="B72" s="93">
        <f t="shared" si="18"/>
        <v>0</v>
      </c>
      <c r="C72" s="93">
        <f t="shared" ref="C72:H72" si="22">(B72/B$65)*C$65</f>
        <v>0</v>
      </c>
      <c r="D72" s="93">
        <f t="shared" si="22"/>
        <v>0</v>
      </c>
      <c r="E72" s="93">
        <f t="shared" si="22"/>
        <v>0</v>
      </c>
      <c r="F72" s="93">
        <f t="shared" si="22"/>
        <v>0</v>
      </c>
      <c r="G72" s="93">
        <f t="shared" si="22"/>
        <v>0</v>
      </c>
      <c r="H72" s="93">
        <f t="shared" si="22"/>
        <v>0</v>
      </c>
    </row>
    <row r="73" spans="1:8" x14ac:dyDescent="0.2">
      <c r="A73" s="93" t="str">
        <f t="shared" si="16"/>
        <v>Bajra</v>
      </c>
      <c r="B73" s="93">
        <f t="shared" si="18"/>
        <v>0</v>
      </c>
      <c r="C73" s="93">
        <f t="shared" ref="C73:H73" si="23">(B73/B$65)*C$65</f>
        <v>0</v>
      </c>
      <c r="D73" s="93">
        <f t="shared" si="23"/>
        <v>0</v>
      </c>
      <c r="E73" s="93">
        <f t="shared" si="23"/>
        <v>0</v>
      </c>
      <c r="F73" s="93">
        <f t="shared" si="23"/>
        <v>0</v>
      </c>
      <c r="G73" s="93">
        <f t="shared" si="23"/>
        <v>0</v>
      </c>
      <c r="H73" s="93">
        <f t="shared" si="23"/>
        <v>0</v>
      </c>
    </row>
    <row r="74" spans="1:8" x14ac:dyDescent="0.2">
      <c r="A74" s="93" t="str">
        <f t="shared" si="16"/>
        <v>Jawar</v>
      </c>
      <c r="B74" s="93">
        <f t="shared" si="18"/>
        <v>0</v>
      </c>
      <c r="C74" s="93">
        <f t="shared" ref="C74:H74" si="24">(B74/B$65)*C$65</f>
        <v>0</v>
      </c>
      <c r="D74" s="93">
        <f t="shared" si="24"/>
        <v>0</v>
      </c>
      <c r="E74" s="93">
        <f t="shared" si="24"/>
        <v>0</v>
      </c>
      <c r="F74" s="93">
        <f t="shared" si="24"/>
        <v>0</v>
      </c>
      <c r="G74" s="93">
        <f t="shared" si="24"/>
        <v>0</v>
      </c>
      <c r="H74" s="93">
        <f t="shared" si="24"/>
        <v>0</v>
      </c>
    </row>
    <row r="75" spans="1:8" x14ac:dyDescent="0.2">
      <c r="A75" s="93" t="str">
        <f t="shared" si="16"/>
        <v>Sunflower</v>
      </c>
      <c r="B75" s="93">
        <f t="shared" si="18"/>
        <v>0</v>
      </c>
      <c r="C75" s="93">
        <f t="shared" ref="C75:H75" si="25">(B75/B$65)*C$65</f>
        <v>0</v>
      </c>
      <c r="D75" s="93">
        <f t="shared" si="25"/>
        <v>0</v>
      </c>
      <c r="E75" s="93">
        <f t="shared" si="25"/>
        <v>0</v>
      </c>
      <c r="F75" s="93">
        <f t="shared" si="25"/>
        <v>0</v>
      </c>
      <c r="G75" s="93">
        <f t="shared" si="25"/>
        <v>0</v>
      </c>
      <c r="H75" s="93">
        <f t="shared" si="25"/>
        <v>0</v>
      </c>
    </row>
    <row r="76" spans="1:8" x14ac:dyDescent="0.2">
      <c r="A76" s="93" t="str">
        <f t="shared" si="16"/>
        <v>Wheat</v>
      </c>
      <c r="B76" s="93">
        <f t="shared" ref="B76:B83" si="26">H24*$B$65</f>
        <v>0</v>
      </c>
      <c r="C76" s="93">
        <f t="shared" ref="C76:H76" si="27">(B76/B$65)*C$65</f>
        <v>0</v>
      </c>
      <c r="D76" s="93">
        <f t="shared" si="27"/>
        <v>0</v>
      </c>
      <c r="E76" s="93">
        <f t="shared" si="27"/>
        <v>0</v>
      </c>
      <c r="F76" s="93">
        <f t="shared" si="27"/>
        <v>0</v>
      </c>
      <c r="G76" s="93">
        <f t="shared" si="27"/>
        <v>0</v>
      </c>
      <c r="H76" s="93">
        <f t="shared" si="27"/>
        <v>0</v>
      </c>
    </row>
    <row r="77" spans="1:8" x14ac:dyDescent="0.2">
      <c r="A77" s="93" t="str">
        <f t="shared" si="16"/>
        <v>Bengal Gram/Channa</v>
      </c>
      <c r="B77" s="93">
        <f t="shared" si="26"/>
        <v>0</v>
      </c>
      <c r="C77" s="93">
        <f t="shared" ref="C77:H77" si="28">(B77/B$65)*C$65</f>
        <v>0</v>
      </c>
      <c r="D77" s="93">
        <f t="shared" si="28"/>
        <v>0</v>
      </c>
      <c r="E77" s="93">
        <f t="shared" si="28"/>
        <v>0</v>
      </c>
      <c r="F77" s="93">
        <f t="shared" si="28"/>
        <v>0</v>
      </c>
      <c r="G77" s="93">
        <f t="shared" si="28"/>
        <v>0</v>
      </c>
      <c r="H77" s="93">
        <f t="shared" si="28"/>
        <v>0</v>
      </c>
    </row>
    <row r="78" spans="1:8" x14ac:dyDescent="0.2">
      <c r="A78" s="93" t="str">
        <f t="shared" si="16"/>
        <v>Jawar</v>
      </c>
      <c r="B78" s="93">
        <f t="shared" si="26"/>
        <v>0</v>
      </c>
      <c r="C78" s="93">
        <f t="shared" ref="C78:H78" si="29">(B78/B$65)*C$65</f>
        <v>0</v>
      </c>
      <c r="D78" s="93">
        <f t="shared" si="29"/>
        <v>0</v>
      </c>
      <c r="E78" s="93">
        <f t="shared" si="29"/>
        <v>0</v>
      </c>
      <c r="F78" s="93">
        <f t="shared" si="29"/>
        <v>0</v>
      </c>
      <c r="G78" s="93">
        <f t="shared" si="29"/>
        <v>0</v>
      </c>
      <c r="H78" s="93">
        <f t="shared" si="29"/>
        <v>0</v>
      </c>
    </row>
    <row r="79" spans="1:8" x14ac:dyDescent="0.2">
      <c r="A79" s="93" t="str">
        <f t="shared" si="16"/>
        <v>Maize</v>
      </c>
      <c r="B79" s="93">
        <f t="shared" si="26"/>
        <v>0</v>
      </c>
      <c r="C79" s="93">
        <f t="shared" ref="C79:H79" si="30">(B79/B$65)*C$65</f>
        <v>0</v>
      </c>
      <c r="D79" s="93">
        <f t="shared" si="30"/>
        <v>0</v>
      </c>
      <c r="E79" s="93">
        <f t="shared" si="30"/>
        <v>0</v>
      </c>
      <c r="F79" s="93">
        <f t="shared" si="30"/>
        <v>0</v>
      </c>
      <c r="G79" s="93">
        <f t="shared" si="30"/>
        <v>0</v>
      </c>
      <c r="H79" s="93">
        <f t="shared" si="30"/>
        <v>0</v>
      </c>
    </row>
    <row r="80" spans="1:8" x14ac:dyDescent="0.2">
      <c r="A80" s="93" t="str">
        <f t="shared" si="16"/>
        <v>Safflower</v>
      </c>
      <c r="B80" s="93">
        <f t="shared" si="26"/>
        <v>0</v>
      </c>
      <c r="C80" s="93">
        <f t="shared" ref="C80:H80" si="31">(B80/B$65)*C$65</f>
        <v>0</v>
      </c>
      <c r="D80" s="93">
        <f t="shared" si="31"/>
        <v>0</v>
      </c>
      <c r="E80" s="93">
        <f t="shared" si="31"/>
        <v>0</v>
      </c>
      <c r="F80" s="93">
        <f t="shared" si="31"/>
        <v>0</v>
      </c>
      <c r="G80" s="93">
        <f t="shared" si="31"/>
        <v>0</v>
      </c>
      <c r="H80" s="93">
        <f t="shared" si="31"/>
        <v>0</v>
      </c>
    </row>
    <row r="81" spans="1:8" x14ac:dyDescent="0.2">
      <c r="A81" s="93">
        <f t="shared" si="16"/>
        <v>0</v>
      </c>
      <c r="B81" s="93">
        <f t="shared" si="26"/>
        <v>0</v>
      </c>
      <c r="C81" s="93">
        <f t="shared" ref="C81:H81" si="32">(B81/B$65)*C$65</f>
        <v>0</v>
      </c>
      <c r="D81" s="93">
        <f t="shared" si="32"/>
        <v>0</v>
      </c>
      <c r="E81" s="93">
        <f t="shared" si="32"/>
        <v>0</v>
      </c>
      <c r="F81" s="93">
        <f t="shared" si="32"/>
        <v>0</v>
      </c>
      <c r="G81" s="93">
        <f t="shared" si="32"/>
        <v>0</v>
      </c>
      <c r="H81" s="93">
        <f t="shared" si="32"/>
        <v>0</v>
      </c>
    </row>
    <row r="82" spans="1:8" x14ac:dyDescent="0.2">
      <c r="A82" s="93">
        <f t="shared" si="16"/>
        <v>0</v>
      </c>
      <c r="B82" s="93">
        <f t="shared" si="26"/>
        <v>0</v>
      </c>
      <c r="C82" s="93">
        <f t="shared" ref="C82:H82" si="33">(B82/B$65)*C$65</f>
        <v>0</v>
      </c>
      <c r="D82" s="93">
        <f t="shared" si="33"/>
        <v>0</v>
      </c>
      <c r="E82" s="93">
        <f t="shared" si="33"/>
        <v>0</v>
      </c>
      <c r="F82" s="93">
        <f t="shared" si="33"/>
        <v>0</v>
      </c>
      <c r="G82" s="93">
        <f t="shared" si="33"/>
        <v>0</v>
      </c>
      <c r="H82" s="93">
        <f t="shared" si="33"/>
        <v>0</v>
      </c>
    </row>
    <row r="83" spans="1:8" x14ac:dyDescent="0.2">
      <c r="A83" s="93">
        <f t="shared" si="16"/>
        <v>0</v>
      </c>
      <c r="B83" s="93">
        <f t="shared" si="26"/>
        <v>0</v>
      </c>
      <c r="C83" s="93">
        <f t="shared" ref="C83:H83" si="34">(B83/B$65)*C$65</f>
        <v>0</v>
      </c>
      <c r="D83" s="93">
        <f t="shared" si="34"/>
        <v>0</v>
      </c>
      <c r="E83" s="93">
        <f t="shared" si="34"/>
        <v>0</v>
      </c>
      <c r="F83" s="93">
        <f t="shared" si="34"/>
        <v>0</v>
      </c>
      <c r="G83" s="93">
        <f t="shared" si="34"/>
        <v>0</v>
      </c>
      <c r="H83" s="93">
        <f t="shared" si="34"/>
        <v>0</v>
      </c>
    </row>
    <row r="84" spans="1:8" x14ac:dyDescent="0.2">
      <c r="A84" s="93" t="str">
        <f t="shared" si="16"/>
        <v>Groundnut</v>
      </c>
      <c r="B84" s="93">
        <f>H33*$B$65</f>
        <v>0</v>
      </c>
      <c r="C84" s="93">
        <f t="shared" ref="C84:H84" si="35">(B84/B$65)*C$65</f>
        <v>0</v>
      </c>
      <c r="D84" s="93">
        <f t="shared" si="35"/>
        <v>0</v>
      </c>
      <c r="E84" s="93">
        <f t="shared" si="35"/>
        <v>0</v>
      </c>
      <c r="F84" s="93">
        <f t="shared" si="35"/>
        <v>0</v>
      </c>
      <c r="G84" s="93">
        <f t="shared" si="35"/>
        <v>0</v>
      </c>
      <c r="H84" s="93">
        <f t="shared" si="35"/>
        <v>0</v>
      </c>
    </row>
    <row r="85" spans="1:8" x14ac:dyDescent="0.2">
      <c r="A85" s="93">
        <f t="shared" si="16"/>
        <v>0</v>
      </c>
      <c r="B85" s="93">
        <f>H34*$B$65</f>
        <v>0</v>
      </c>
      <c r="C85" s="93">
        <f t="shared" ref="C85:H85" si="36">(B85/B$65)*C$65</f>
        <v>0</v>
      </c>
      <c r="D85" s="93">
        <f t="shared" si="36"/>
        <v>0</v>
      </c>
      <c r="E85" s="93">
        <f t="shared" si="36"/>
        <v>0</v>
      </c>
      <c r="F85" s="93">
        <f t="shared" si="36"/>
        <v>0</v>
      </c>
      <c r="G85" s="93">
        <f t="shared" si="36"/>
        <v>0</v>
      </c>
      <c r="H85" s="93">
        <f t="shared" si="36"/>
        <v>0</v>
      </c>
    </row>
    <row r="86" spans="1:8" x14ac:dyDescent="0.2">
      <c r="A86" s="93">
        <f t="shared" si="16"/>
        <v>0</v>
      </c>
      <c r="B86" s="93">
        <f>H35*$B$65</f>
        <v>0</v>
      </c>
      <c r="C86" s="93">
        <f t="shared" ref="C86:H86" si="37">(B86/B$65)*C$65</f>
        <v>0</v>
      </c>
      <c r="D86" s="93">
        <f t="shared" si="37"/>
        <v>0</v>
      </c>
      <c r="E86" s="93">
        <f t="shared" si="37"/>
        <v>0</v>
      </c>
      <c r="F86" s="93">
        <f t="shared" si="37"/>
        <v>0</v>
      </c>
      <c r="G86" s="93">
        <f t="shared" si="37"/>
        <v>0</v>
      </c>
      <c r="H86" s="93">
        <f t="shared" si="37"/>
        <v>0</v>
      </c>
    </row>
    <row r="87" spans="1:8" x14ac:dyDescent="0.2">
      <c r="A87" s="93">
        <f t="shared" si="16"/>
        <v>0</v>
      </c>
      <c r="B87" s="93">
        <f>H36*$B$65</f>
        <v>0</v>
      </c>
      <c r="C87" s="93">
        <f t="shared" ref="C87:H87" si="38">(B87/B$65)*C$65</f>
        <v>0</v>
      </c>
      <c r="D87" s="93">
        <f t="shared" si="38"/>
        <v>0</v>
      </c>
      <c r="E87" s="93">
        <f t="shared" si="38"/>
        <v>0</v>
      </c>
      <c r="F87" s="93">
        <f t="shared" si="38"/>
        <v>0</v>
      </c>
      <c r="G87" s="93">
        <f t="shared" si="38"/>
        <v>0</v>
      </c>
      <c r="H87" s="93">
        <f t="shared" si="38"/>
        <v>0</v>
      </c>
    </row>
    <row r="89" spans="1:8" x14ac:dyDescent="0.2">
      <c r="A89" s="493" t="s">
        <v>567</v>
      </c>
      <c r="B89" s="494"/>
      <c r="C89" s="494"/>
      <c r="D89" s="494"/>
      <c r="E89" s="494"/>
      <c r="F89" s="494"/>
      <c r="G89" s="494"/>
      <c r="H89" s="495"/>
    </row>
    <row r="90" spans="1:8" x14ac:dyDescent="0.2">
      <c r="A90" s="477" t="s">
        <v>0</v>
      </c>
      <c r="B90" s="380">
        <v>0.65</v>
      </c>
      <c r="C90" s="381">
        <f>B90+0.05</f>
        <v>0.70000000000000007</v>
      </c>
      <c r="D90" s="381">
        <f t="shared" ref="D90:G90" si="39">C90+0.05</f>
        <v>0.75000000000000011</v>
      </c>
      <c r="E90" s="381">
        <f t="shared" si="39"/>
        <v>0.80000000000000016</v>
      </c>
      <c r="F90" s="381">
        <f t="shared" si="39"/>
        <v>0.8500000000000002</v>
      </c>
      <c r="G90" s="381">
        <f t="shared" si="39"/>
        <v>0.90000000000000024</v>
      </c>
      <c r="H90" s="381">
        <f>G90+0.05</f>
        <v>0.95000000000000029</v>
      </c>
    </row>
    <row r="91" spans="1:8" x14ac:dyDescent="0.2">
      <c r="A91" s="478"/>
      <c r="B91" s="139" t="s">
        <v>2</v>
      </c>
      <c r="C91" s="139" t="s">
        <v>3</v>
      </c>
      <c r="D91" s="139" t="s">
        <v>4</v>
      </c>
      <c r="E91" s="139" t="s">
        <v>5</v>
      </c>
      <c r="F91" s="139" t="s">
        <v>6</v>
      </c>
      <c r="G91" s="139" t="s">
        <v>168</v>
      </c>
      <c r="H91" s="139" t="s">
        <v>167</v>
      </c>
    </row>
    <row r="92" spans="1:8" x14ac:dyDescent="0.2">
      <c r="A92" s="93" t="str">
        <f t="shared" ref="A92:A112" si="40">A67</f>
        <v>Soybean</v>
      </c>
      <c r="B92" s="93">
        <f t="shared" ref="B92:B100" si="41">D14*$B$90</f>
        <v>0</v>
      </c>
      <c r="C92" s="93">
        <f t="shared" ref="C92:H92" si="42">(B92/B$90)*C$90</f>
        <v>0</v>
      </c>
      <c r="D92" s="93">
        <f t="shared" si="42"/>
        <v>0</v>
      </c>
      <c r="E92" s="93">
        <f t="shared" si="42"/>
        <v>0</v>
      </c>
      <c r="F92" s="93">
        <f t="shared" si="42"/>
        <v>0</v>
      </c>
      <c r="G92" s="93">
        <f t="shared" si="42"/>
        <v>0</v>
      </c>
      <c r="H92" s="93">
        <f t="shared" si="42"/>
        <v>0</v>
      </c>
    </row>
    <row r="93" spans="1:8" x14ac:dyDescent="0.2">
      <c r="A93" s="93" t="str">
        <f t="shared" si="40"/>
        <v>Red Gram/Tur</v>
      </c>
      <c r="B93" s="93">
        <f t="shared" si="41"/>
        <v>0</v>
      </c>
      <c r="C93" s="93">
        <f t="shared" ref="C93:C113" si="43">(B93/B$90)*C$90</f>
        <v>0</v>
      </c>
      <c r="D93" s="93">
        <f>(C93/C90)*D90</f>
        <v>0</v>
      </c>
      <c r="E93" s="93">
        <f t="shared" ref="E93:G93" si="44">(D93/D90)*E90</f>
        <v>0</v>
      </c>
      <c r="F93" s="93">
        <f t="shared" si="44"/>
        <v>0</v>
      </c>
      <c r="G93" s="93">
        <f t="shared" si="44"/>
        <v>0</v>
      </c>
      <c r="H93" s="93">
        <f>(G93/G90)*H90</f>
        <v>0</v>
      </c>
    </row>
    <row r="94" spans="1:8" x14ac:dyDescent="0.2">
      <c r="A94" s="93" t="str">
        <f t="shared" si="40"/>
        <v>Paddy/Rice</v>
      </c>
      <c r="B94" s="93">
        <f t="shared" si="41"/>
        <v>0</v>
      </c>
      <c r="C94" s="93">
        <f t="shared" si="43"/>
        <v>0</v>
      </c>
      <c r="D94" s="93">
        <f t="shared" ref="D94:H103" si="45">(C94/C$90)*D$90</f>
        <v>0</v>
      </c>
      <c r="E94" s="93">
        <f t="shared" si="45"/>
        <v>0</v>
      </c>
      <c r="F94" s="93">
        <f t="shared" si="45"/>
        <v>0</v>
      </c>
      <c r="G94" s="93">
        <f t="shared" si="45"/>
        <v>0</v>
      </c>
      <c r="H94" s="93">
        <f t="shared" si="45"/>
        <v>0</v>
      </c>
    </row>
    <row r="95" spans="1:8" x14ac:dyDescent="0.2">
      <c r="A95" s="93" t="str">
        <f t="shared" si="40"/>
        <v>Green Gram/ Moong</v>
      </c>
      <c r="B95" s="93">
        <f t="shared" si="41"/>
        <v>0</v>
      </c>
      <c r="C95" s="93">
        <f t="shared" si="43"/>
        <v>0</v>
      </c>
      <c r="D95" s="93">
        <f t="shared" si="45"/>
        <v>0</v>
      </c>
      <c r="E95" s="93">
        <f t="shared" si="45"/>
        <v>0</v>
      </c>
      <c r="F95" s="93">
        <f t="shared" si="45"/>
        <v>0</v>
      </c>
      <c r="G95" s="93">
        <f t="shared" si="45"/>
        <v>0</v>
      </c>
      <c r="H95" s="93">
        <f t="shared" si="45"/>
        <v>0</v>
      </c>
    </row>
    <row r="96" spans="1:8" x14ac:dyDescent="0.2">
      <c r="A96" s="93" t="str">
        <f t="shared" si="40"/>
        <v>Maize</v>
      </c>
      <c r="B96" s="93">
        <f t="shared" si="41"/>
        <v>0</v>
      </c>
      <c r="C96" s="93">
        <f t="shared" si="43"/>
        <v>0</v>
      </c>
      <c r="D96" s="93">
        <f t="shared" si="45"/>
        <v>0</v>
      </c>
      <c r="E96" s="93">
        <f t="shared" si="45"/>
        <v>0</v>
      </c>
      <c r="F96" s="93">
        <f t="shared" si="45"/>
        <v>0</v>
      </c>
      <c r="G96" s="93">
        <f t="shared" si="45"/>
        <v>0</v>
      </c>
      <c r="H96" s="93">
        <f t="shared" si="45"/>
        <v>0</v>
      </c>
    </row>
    <row r="97" spans="1:8" x14ac:dyDescent="0.2">
      <c r="A97" s="93" t="str">
        <f t="shared" si="40"/>
        <v>Black Gram/Udid</v>
      </c>
      <c r="B97" s="93">
        <f t="shared" si="41"/>
        <v>0</v>
      </c>
      <c r="C97" s="93">
        <f t="shared" si="43"/>
        <v>0</v>
      </c>
      <c r="D97" s="93">
        <f t="shared" si="45"/>
        <v>0</v>
      </c>
      <c r="E97" s="93">
        <f t="shared" si="45"/>
        <v>0</v>
      </c>
      <c r="F97" s="93">
        <f t="shared" si="45"/>
        <v>0</v>
      </c>
      <c r="G97" s="93">
        <f t="shared" si="45"/>
        <v>0</v>
      </c>
      <c r="H97" s="93">
        <f t="shared" si="45"/>
        <v>0</v>
      </c>
    </row>
    <row r="98" spans="1:8" x14ac:dyDescent="0.2">
      <c r="A98" s="93" t="str">
        <f t="shared" si="40"/>
        <v>Bajra</v>
      </c>
      <c r="B98" s="93">
        <f t="shared" si="41"/>
        <v>0</v>
      </c>
      <c r="C98" s="93">
        <f t="shared" si="43"/>
        <v>0</v>
      </c>
      <c r="D98" s="93">
        <f t="shared" si="45"/>
        <v>0</v>
      </c>
      <c r="E98" s="93">
        <f t="shared" si="45"/>
        <v>0</v>
      </c>
      <c r="F98" s="93">
        <f t="shared" si="45"/>
        <v>0</v>
      </c>
      <c r="G98" s="93">
        <f t="shared" si="45"/>
        <v>0</v>
      </c>
      <c r="H98" s="93">
        <f t="shared" si="45"/>
        <v>0</v>
      </c>
    </row>
    <row r="99" spans="1:8" x14ac:dyDescent="0.2">
      <c r="A99" s="93" t="str">
        <f t="shared" si="40"/>
        <v>Jawar</v>
      </c>
      <c r="B99" s="93">
        <f t="shared" si="41"/>
        <v>0</v>
      </c>
      <c r="C99" s="93">
        <f t="shared" si="43"/>
        <v>0</v>
      </c>
      <c r="D99" s="93">
        <f t="shared" si="45"/>
        <v>0</v>
      </c>
      <c r="E99" s="93">
        <f t="shared" si="45"/>
        <v>0</v>
      </c>
      <c r="F99" s="93">
        <f t="shared" si="45"/>
        <v>0</v>
      </c>
      <c r="G99" s="93">
        <f t="shared" si="45"/>
        <v>0</v>
      </c>
      <c r="H99" s="93">
        <f t="shared" si="45"/>
        <v>0</v>
      </c>
    </row>
    <row r="100" spans="1:8" x14ac:dyDescent="0.2">
      <c r="A100" s="93" t="str">
        <f t="shared" si="40"/>
        <v>Sunflower</v>
      </c>
      <c r="B100" s="93">
        <f t="shared" si="41"/>
        <v>0</v>
      </c>
      <c r="C100" s="93">
        <f t="shared" si="43"/>
        <v>0</v>
      </c>
      <c r="D100" s="93">
        <f t="shared" si="45"/>
        <v>0</v>
      </c>
      <c r="E100" s="93">
        <f t="shared" si="45"/>
        <v>0</v>
      </c>
      <c r="F100" s="93">
        <f t="shared" si="45"/>
        <v>0</v>
      </c>
      <c r="G100" s="93">
        <f t="shared" si="45"/>
        <v>0</v>
      </c>
      <c r="H100" s="93">
        <f t="shared" si="45"/>
        <v>0</v>
      </c>
    </row>
    <row r="101" spans="1:8" x14ac:dyDescent="0.2">
      <c r="A101" s="93" t="str">
        <f t="shared" si="40"/>
        <v>Wheat</v>
      </c>
      <c r="B101" s="93">
        <f t="shared" ref="B101:B108" si="46">D24*$B$90</f>
        <v>0</v>
      </c>
      <c r="C101" s="93">
        <f t="shared" si="43"/>
        <v>0</v>
      </c>
      <c r="D101" s="93">
        <f t="shared" si="45"/>
        <v>0</v>
      </c>
      <c r="E101" s="93">
        <f t="shared" si="45"/>
        <v>0</v>
      </c>
      <c r="F101" s="93">
        <f t="shared" si="45"/>
        <v>0</v>
      </c>
      <c r="G101" s="93">
        <f t="shared" si="45"/>
        <v>0</v>
      </c>
      <c r="H101" s="93">
        <f t="shared" si="45"/>
        <v>0</v>
      </c>
    </row>
    <row r="102" spans="1:8" x14ac:dyDescent="0.2">
      <c r="A102" s="93" t="str">
        <f t="shared" si="40"/>
        <v>Bengal Gram/Channa</v>
      </c>
      <c r="B102" s="93">
        <f t="shared" si="46"/>
        <v>0</v>
      </c>
      <c r="C102" s="93">
        <f t="shared" si="43"/>
        <v>0</v>
      </c>
      <c r="D102" s="93">
        <f t="shared" si="45"/>
        <v>0</v>
      </c>
      <c r="E102" s="93">
        <f t="shared" si="45"/>
        <v>0</v>
      </c>
      <c r="F102" s="93">
        <f t="shared" si="45"/>
        <v>0</v>
      </c>
      <c r="G102" s="93">
        <f t="shared" si="45"/>
        <v>0</v>
      </c>
      <c r="H102" s="93">
        <f t="shared" si="45"/>
        <v>0</v>
      </c>
    </row>
    <row r="103" spans="1:8" x14ac:dyDescent="0.2">
      <c r="A103" s="93" t="str">
        <f t="shared" si="40"/>
        <v>Jawar</v>
      </c>
      <c r="B103" s="93">
        <f t="shared" si="46"/>
        <v>0</v>
      </c>
      <c r="C103" s="93">
        <f t="shared" si="43"/>
        <v>0</v>
      </c>
      <c r="D103" s="93">
        <f t="shared" si="45"/>
        <v>0</v>
      </c>
      <c r="E103" s="93">
        <f t="shared" si="45"/>
        <v>0</v>
      </c>
      <c r="F103" s="93">
        <f t="shared" si="45"/>
        <v>0</v>
      </c>
      <c r="G103" s="93">
        <f t="shared" si="45"/>
        <v>0</v>
      </c>
      <c r="H103" s="93">
        <f t="shared" si="45"/>
        <v>0</v>
      </c>
    </row>
    <row r="104" spans="1:8" x14ac:dyDescent="0.2">
      <c r="A104" s="93" t="str">
        <f t="shared" si="40"/>
        <v>Maize</v>
      </c>
      <c r="B104" s="93">
        <f t="shared" si="46"/>
        <v>0</v>
      </c>
      <c r="C104" s="93">
        <f t="shared" si="43"/>
        <v>0</v>
      </c>
      <c r="D104" s="93">
        <f t="shared" ref="D104:H113" si="47">(C104/C$90)*D$90</f>
        <v>0</v>
      </c>
      <c r="E104" s="93">
        <f t="shared" si="47"/>
        <v>0</v>
      </c>
      <c r="F104" s="93">
        <f t="shared" si="47"/>
        <v>0</v>
      </c>
      <c r="G104" s="93">
        <f t="shared" si="47"/>
        <v>0</v>
      </c>
      <c r="H104" s="93">
        <f t="shared" si="47"/>
        <v>0</v>
      </c>
    </row>
    <row r="105" spans="1:8" x14ac:dyDescent="0.2">
      <c r="A105" s="93" t="str">
        <f t="shared" si="40"/>
        <v>Safflower</v>
      </c>
      <c r="B105" s="93">
        <f t="shared" si="46"/>
        <v>0</v>
      </c>
      <c r="C105" s="93">
        <f t="shared" si="43"/>
        <v>0</v>
      </c>
      <c r="D105" s="93">
        <f t="shared" si="47"/>
        <v>0</v>
      </c>
      <c r="E105" s="93">
        <f t="shared" si="47"/>
        <v>0</v>
      </c>
      <c r="F105" s="93">
        <f t="shared" si="47"/>
        <v>0</v>
      </c>
      <c r="G105" s="93">
        <f t="shared" si="47"/>
        <v>0</v>
      </c>
      <c r="H105" s="93">
        <f t="shared" si="47"/>
        <v>0</v>
      </c>
    </row>
    <row r="106" spans="1:8" x14ac:dyDescent="0.2">
      <c r="A106" s="93">
        <f t="shared" si="40"/>
        <v>0</v>
      </c>
      <c r="B106" s="93">
        <f t="shared" si="46"/>
        <v>0</v>
      </c>
      <c r="C106" s="93">
        <f t="shared" si="43"/>
        <v>0</v>
      </c>
      <c r="D106" s="93">
        <f t="shared" si="47"/>
        <v>0</v>
      </c>
      <c r="E106" s="93">
        <f t="shared" si="47"/>
        <v>0</v>
      </c>
      <c r="F106" s="93">
        <f t="shared" si="47"/>
        <v>0</v>
      </c>
      <c r="G106" s="93">
        <f t="shared" si="47"/>
        <v>0</v>
      </c>
      <c r="H106" s="93">
        <f t="shared" si="47"/>
        <v>0</v>
      </c>
    </row>
    <row r="107" spans="1:8" x14ac:dyDescent="0.2">
      <c r="A107" s="93">
        <f t="shared" si="40"/>
        <v>0</v>
      </c>
      <c r="B107" s="93">
        <f t="shared" si="46"/>
        <v>0</v>
      </c>
      <c r="C107" s="93">
        <f t="shared" si="43"/>
        <v>0</v>
      </c>
      <c r="D107" s="93">
        <f t="shared" si="47"/>
        <v>0</v>
      </c>
      <c r="E107" s="93">
        <f t="shared" si="47"/>
        <v>0</v>
      </c>
      <c r="F107" s="93">
        <f t="shared" si="47"/>
        <v>0</v>
      </c>
      <c r="G107" s="93">
        <f t="shared" si="47"/>
        <v>0</v>
      </c>
      <c r="H107" s="93">
        <f t="shared" si="47"/>
        <v>0</v>
      </c>
    </row>
    <row r="108" spans="1:8" x14ac:dyDescent="0.2">
      <c r="A108" s="93">
        <f t="shared" si="40"/>
        <v>0</v>
      </c>
      <c r="B108" s="93">
        <f t="shared" si="46"/>
        <v>0</v>
      </c>
      <c r="C108" s="93">
        <f t="shared" si="43"/>
        <v>0</v>
      </c>
      <c r="D108" s="93">
        <f t="shared" si="47"/>
        <v>0</v>
      </c>
      <c r="E108" s="93">
        <f t="shared" si="47"/>
        <v>0</v>
      </c>
      <c r="F108" s="93">
        <f t="shared" si="47"/>
        <v>0</v>
      </c>
      <c r="G108" s="93">
        <f t="shared" si="47"/>
        <v>0</v>
      </c>
      <c r="H108" s="93">
        <f t="shared" si="47"/>
        <v>0</v>
      </c>
    </row>
    <row r="109" spans="1:8" x14ac:dyDescent="0.2">
      <c r="A109" s="93" t="str">
        <f t="shared" si="40"/>
        <v>Groundnut</v>
      </c>
      <c r="B109" s="93">
        <f>D33*$B$90</f>
        <v>0</v>
      </c>
      <c r="C109" s="93">
        <f t="shared" si="43"/>
        <v>0</v>
      </c>
      <c r="D109" s="93">
        <f t="shared" si="47"/>
        <v>0</v>
      </c>
      <c r="E109" s="93">
        <f t="shared" si="47"/>
        <v>0</v>
      </c>
      <c r="F109" s="93">
        <f t="shared" si="47"/>
        <v>0</v>
      </c>
      <c r="G109" s="93">
        <f t="shared" si="47"/>
        <v>0</v>
      </c>
      <c r="H109" s="93">
        <f t="shared" si="47"/>
        <v>0</v>
      </c>
    </row>
    <row r="110" spans="1:8" x14ac:dyDescent="0.2">
      <c r="A110" s="93">
        <f t="shared" si="40"/>
        <v>0</v>
      </c>
      <c r="B110" s="93">
        <f>D34*$B$90</f>
        <v>0</v>
      </c>
      <c r="C110" s="93">
        <f t="shared" si="43"/>
        <v>0</v>
      </c>
      <c r="D110" s="93">
        <f t="shared" si="47"/>
        <v>0</v>
      </c>
      <c r="E110" s="93">
        <f t="shared" si="47"/>
        <v>0</v>
      </c>
      <c r="F110" s="93">
        <f t="shared" si="47"/>
        <v>0</v>
      </c>
      <c r="G110" s="93">
        <f t="shared" si="47"/>
        <v>0</v>
      </c>
      <c r="H110" s="93">
        <f t="shared" si="47"/>
        <v>0</v>
      </c>
    </row>
    <row r="111" spans="1:8" x14ac:dyDescent="0.2">
      <c r="A111" s="93">
        <f t="shared" si="40"/>
        <v>0</v>
      </c>
      <c r="B111" s="93">
        <f>D34*$B$90</f>
        <v>0</v>
      </c>
      <c r="C111" s="93">
        <f t="shared" si="43"/>
        <v>0</v>
      </c>
      <c r="D111" s="93">
        <f t="shared" si="47"/>
        <v>0</v>
      </c>
      <c r="E111" s="93">
        <f t="shared" si="47"/>
        <v>0</v>
      </c>
      <c r="F111" s="93">
        <f t="shared" si="47"/>
        <v>0</v>
      </c>
      <c r="G111" s="93">
        <f t="shared" si="47"/>
        <v>0</v>
      </c>
      <c r="H111" s="93">
        <f t="shared" si="47"/>
        <v>0</v>
      </c>
    </row>
    <row r="112" spans="1:8" x14ac:dyDescent="0.2">
      <c r="A112" s="93">
        <f t="shared" si="40"/>
        <v>0</v>
      </c>
      <c r="B112" s="93">
        <f>D36*$B$90</f>
        <v>0</v>
      </c>
      <c r="C112" s="93">
        <f t="shared" si="43"/>
        <v>0</v>
      </c>
      <c r="D112" s="93">
        <f t="shared" si="47"/>
        <v>0</v>
      </c>
      <c r="E112" s="93">
        <f t="shared" si="47"/>
        <v>0</v>
      </c>
      <c r="F112" s="93">
        <f t="shared" si="47"/>
        <v>0</v>
      </c>
      <c r="G112" s="93">
        <f t="shared" si="47"/>
        <v>0</v>
      </c>
      <c r="H112" s="93">
        <f t="shared" si="47"/>
        <v>0</v>
      </c>
    </row>
    <row r="113" spans="1:9" x14ac:dyDescent="0.2">
      <c r="A113" s="93"/>
      <c r="B113" s="93">
        <f>D37*$B$90</f>
        <v>0</v>
      </c>
      <c r="C113" s="93">
        <f t="shared" si="43"/>
        <v>0</v>
      </c>
      <c r="D113" s="93">
        <f t="shared" si="47"/>
        <v>0</v>
      </c>
      <c r="E113" s="93">
        <f t="shared" si="47"/>
        <v>0</v>
      </c>
      <c r="F113" s="93">
        <f t="shared" si="47"/>
        <v>0</v>
      </c>
      <c r="G113" s="93">
        <f t="shared" si="47"/>
        <v>0</v>
      </c>
      <c r="H113" s="93">
        <f t="shared" si="47"/>
        <v>0</v>
      </c>
    </row>
    <row r="115" spans="1:9" x14ac:dyDescent="0.2">
      <c r="C115" s="138"/>
      <c r="D115" s="150"/>
      <c r="E115" s="150"/>
      <c r="F115" s="150"/>
      <c r="G115" s="150"/>
      <c r="H115" s="150"/>
      <c r="I115" s="150"/>
    </row>
    <row r="116" spans="1:9" x14ac:dyDescent="0.2">
      <c r="A116" s="92" t="s">
        <v>536</v>
      </c>
      <c r="C116" s="134"/>
      <c r="D116" s="134"/>
      <c r="E116" s="134"/>
      <c r="F116" s="134"/>
      <c r="G116" s="134"/>
      <c r="H116" s="134"/>
      <c r="I116" s="134"/>
    </row>
    <row r="117" spans="1:9" x14ac:dyDescent="0.2">
      <c r="A117" s="92">
        <v>1</v>
      </c>
      <c r="B117" s="92" t="s">
        <v>590</v>
      </c>
    </row>
    <row r="118" spans="1:9" x14ac:dyDescent="0.2">
      <c r="A118" s="92">
        <v>2</v>
      </c>
      <c r="B118" s="92" t="s">
        <v>591</v>
      </c>
    </row>
    <row r="119" spans="1:9" x14ac:dyDescent="0.2">
      <c r="A119" s="92">
        <v>3</v>
      </c>
      <c r="B119" s="92" t="s">
        <v>539</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 right="0.7" top="0.75" bottom="0.75" header="0.3" footer="0.3"/>
  <pageSetup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Z132"/>
  <sheetViews>
    <sheetView view="pageBreakPreview" zoomScale="80" zoomScaleSheetLayoutView="80" workbookViewId="0">
      <selection sqref="A1:XFD1048576"/>
    </sheetView>
  </sheetViews>
  <sheetFormatPr defaultColWidth="8.7421875" defaultRowHeight="15" x14ac:dyDescent="0.2"/>
  <cols>
    <col min="1" max="1" width="44.2578125" style="92" bestFit="1" customWidth="1"/>
    <col min="2" max="2" width="23.26953125" style="92" bestFit="1" customWidth="1"/>
    <col min="3" max="3" width="11.56640625" style="92" customWidth="1"/>
    <col min="4" max="4" width="18.83203125" style="92" customWidth="1"/>
    <col min="5" max="5" width="15.19921875" style="92" customWidth="1"/>
    <col min="6" max="7" width="15.87109375" style="92" customWidth="1"/>
    <col min="8" max="8" width="21.25390625" style="92" customWidth="1"/>
    <col min="9" max="9" width="11.43359375" style="92" bestFit="1" customWidth="1"/>
    <col min="10" max="10" width="9.14453125" style="92" bestFit="1" customWidth="1"/>
    <col min="11" max="16384" width="8.7421875" style="92"/>
  </cols>
  <sheetData>
    <row r="1" spans="1:26" ht="18.75" x14ac:dyDescent="0.25">
      <c r="A1" s="427" t="s">
        <v>491</v>
      </c>
      <c r="B1" s="427"/>
      <c r="C1" s="427"/>
      <c r="D1" s="427"/>
      <c r="E1" s="427"/>
      <c r="F1" s="427"/>
      <c r="G1" s="427"/>
      <c r="H1" s="427"/>
    </row>
    <row r="2" spans="1:26" x14ac:dyDescent="0.2">
      <c r="B2" s="138"/>
    </row>
    <row r="3" spans="1:26" ht="18.75" x14ac:dyDescent="0.25">
      <c r="A3" s="476" t="s">
        <v>568</v>
      </c>
      <c r="B3" s="476"/>
    </row>
    <row r="4" spans="1:26" x14ac:dyDescent="0.2">
      <c r="A4" s="123" t="s">
        <v>0</v>
      </c>
      <c r="B4" s="139" t="s">
        <v>377</v>
      </c>
      <c r="C4" s="364"/>
      <c r="D4" s="364"/>
      <c r="E4" s="364"/>
      <c r="F4" s="364"/>
      <c r="G4" s="364"/>
      <c r="H4" s="364"/>
    </row>
    <row r="5" spans="1:26" x14ac:dyDescent="0.2">
      <c r="A5" s="93" t="s">
        <v>484</v>
      </c>
      <c r="B5" s="239"/>
      <c r="D5" s="365"/>
      <c r="E5" s="365"/>
      <c r="F5" s="365"/>
      <c r="G5" s="365"/>
      <c r="H5" s="365"/>
    </row>
    <row r="6" spans="1:26" x14ac:dyDescent="0.2">
      <c r="A6" s="93" t="s">
        <v>485</v>
      </c>
      <c r="B6" s="239"/>
      <c r="D6" s="365"/>
      <c r="E6" s="365"/>
      <c r="F6" s="365"/>
      <c r="G6" s="365"/>
      <c r="H6" s="365"/>
    </row>
    <row r="7" spans="1:26" x14ac:dyDescent="0.2">
      <c r="A7" s="98" t="s">
        <v>1</v>
      </c>
      <c r="B7" s="98">
        <f>B5+B6</f>
        <v>0</v>
      </c>
      <c r="C7" s="151"/>
      <c r="D7" s="366"/>
      <c r="E7" s="366"/>
      <c r="F7" s="366"/>
      <c r="G7" s="366"/>
      <c r="H7" s="366"/>
    </row>
    <row r="8" spans="1:26" x14ac:dyDescent="0.2">
      <c r="A8" s="98" t="s">
        <v>486</v>
      </c>
      <c r="B8" s="242">
        <v>1</v>
      </c>
      <c r="C8" s="151"/>
      <c r="D8" s="151"/>
      <c r="E8" s="151"/>
      <c r="F8" s="151"/>
      <c r="G8" s="151"/>
      <c r="H8" s="151"/>
    </row>
    <row r="9" spans="1:26" x14ac:dyDescent="0.2">
      <c r="A9" s="98" t="s">
        <v>487</v>
      </c>
      <c r="B9" s="98">
        <f>B7*B8</f>
        <v>0</v>
      </c>
      <c r="C9" s="366"/>
      <c r="D9" s="366"/>
      <c r="E9" s="366"/>
      <c r="F9" s="366"/>
      <c r="G9" s="366"/>
      <c r="H9" s="366"/>
    </row>
    <row r="10" spans="1:26" x14ac:dyDescent="0.2">
      <c r="J10" s="92" t="s">
        <v>445</v>
      </c>
      <c r="O10" s="92" t="s">
        <v>441</v>
      </c>
      <c r="U10" s="92" t="s">
        <v>442</v>
      </c>
      <c r="Y10" s="92" t="s">
        <v>443</v>
      </c>
      <c r="Z10" s="92" t="s">
        <v>444</v>
      </c>
    </row>
    <row r="11" spans="1:26" ht="18.75" x14ac:dyDescent="0.25">
      <c r="A11" s="427" t="s">
        <v>569</v>
      </c>
      <c r="B11" s="427"/>
      <c r="C11" s="427"/>
      <c r="D11" s="427"/>
      <c r="E11" s="427"/>
      <c r="F11" s="427"/>
      <c r="G11" s="427"/>
      <c r="H11" s="427"/>
      <c r="I11" s="151"/>
      <c r="J11" s="151"/>
      <c r="K11" s="151"/>
      <c r="L11" s="151"/>
      <c r="M11" s="151"/>
      <c r="N11" s="151"/>
      <c r="O11" s="151"/>
      <c r="P11" s="151"/>
    </row>
    <row r="12" spans="1:26" x14ac:dyDescent="0.2">
      <c r="J12" s="173">
        <v>0.65</v>
      </c>
      <c r="K12" s="367">
        <f>J12+0.05</f>
        <v>0.70000000000000007</v>
      </c>
      <c r="L12" s="367">
        <f t="shared" ref="L12:N12" si="0">K12+0.05</f>
        <v>0.75000000000000011</v>
      </c>
      <c r="M12" s="367">
        <f t="shared" si="0"/>
        <v>0.80000000000000016</v>
      </c>
      <c r="N12" s="367">
        <f t="shared" si="0"/>
        <v>0.8500000000000002</v>
      </c>
      <c r="O12" s="173">
        <v>0.4</v>
      </c>
      <c r="P12" s="173">
        <f>O12+0.05</f>
        <v>0.45</v>
      </c>
      <c r="Q12" s="173">
        <f t="shared" ref="Q12:T12" si="1">P12+0.05</f>
        <v>0.5</v>
      </c>
      <c r="R12" s="173">
        <f t="shared" si="1"/>
        <v>0.55000000000000004</v>
      </c>
      <c r="S12" s="173">
        <f t="shared" si="1"/>
        <v>0.60000000000000009</v>
      </c>
      <c r="T12" s="173">
        <f t="shared" si="1"/>
        <v>0.65000000000000013</v>
      </c>
      <c r="U12" s="173">
        <v>0.1</v>
      </c>
      <c r="V12" s="150">
        <f>U12+0.05</f>
        <v>0.15000000000000002</v>
      </c>
      <c r="W12" s="150">
        <f t="shared" ref="W12:X12" si="2">V12+0.05</f>
        <v>0.2</v>
      </c>
      <c r="X12" s="150">
        <f t="shared" si="2"/>
        <v>0.25</v>
      </c>
    </row>
    <row r="13" spans="1:26" ht="25.5" x14ac:dyDescent="0.2">
      <c r="A13" s="123" t="s">
        <v>381</v>
      </c>
      <c r="B13" s="123" t="s">
        <v>382</v>
      </c>
      <c r="C13" s="368" t="s">
        <v>437</v>
      </c>
      <c r="D13" s="368" t="s">
        <v>446</v>
      </c>
      <c r="E13" s="368" t="s">
        <v>447</v>
      </c>
      <c r="F13" s="368" t="s">
        <v>383</v>
      </c>
      <c r="G13" s="368" t="s">
        <v>438</v>
      </c>
      <c r="H13" s="368" t="s">
        <v>384</v>
      </c>
      <c r="O13" s="369" t="s">
        <v>2</v>
      </c>
      <c r="P13" s="369" t="s">
        <v>3</v>
      </c>
      <c r="Q13" s="369" t="s">
        <v>4</v>
      </c>
      <c r="R13" s="369" t="s">
        <v>5</v>
      </c>
      <c r="S13" s="369" t="s">
        <v>6</v>
      </c>
      <c r="T13" s="369" t="s">
        <v>2</v>
      </c>
      <c r="U13" s="369" t="s">
        <v>3</v>
      </c>
      <c r="V13" s="369" t="s">
        <v>4</v>
      </c>
      <c r="W13" s="369" t="s">
        <v>5</v>
      </c>
      <c r="X13" s="369" t="s">
        <v>6</v>
      </c>
    </row>
    <row r="14" spans="1:26" x14ac:dyDescent="0.2">
      <c r="A14" s="480" t="s">
        <v>385</v>
      </c>
      <c r="B14" s="239" t="s">
        <v>474</v>
      </c>
      <c r="C14" s="370">
        <v>0</v>
      </c>
      <c r="D14" s="93">
        <f t="shared" ref="D14:D40" si="3">$B$9*C14</f>
        <v>0</v>
      </c>
      <c r="E14" s="371">
        <v>15</v>
      </c>
      <c r="F14" s="93">
        <f>D14*E14</f>
        <v>0</v>
      </c>
      <c r="G14" s="260">
        <v>0.1</v>
      </c>
      <c r="H14" s="93">
        <f>(F14-F14*G14)</f>
        <v>0</v>
      </c>
      <c r="J14" s="92">
        <f>$D$14*J12</f>
        <v>0</v>
      </c>
      <c r="K14" s="92">
        <f>$D$14*K12</f>
        <v>0</v>
      </c>
      <c r="L14" s="92">
        <f>$D$14*L12</f>
        <v>0</v>
      </c>
      <c r="M14" s="92">
        <f>$D$14*M12</f>
        <v>0</v>
      </c>
      <c r="N14" s="92">
        <f>$D$14*N12</f>
        <v>0</v>
      </c>
    </row>
    <row r="15" spans="1:26" x14ac:dyDescent="0.2">
      <c r="A15" s="481"/>
      <c r="B15" s="239" t="s">
        <v>475</v>
      </c>
      <c r="C15" s="370">
        <v>0.1</v>
      </c>
      <c r="D15" s="93">
        <f t="shared" si="3"/>
        <v>0</v>
      </c>
      <c r="E15" s="371">
        <v>7</v>
      </c>
      <c r="F15" s="93">
        <f t="shared" ref="F15:F40" si="4">D15*E15</f>
        <v>0</v>
      </c>
      <c r="G15" s="260">
        <v>0.05</v>
      </c>
      <c r="H15" s="93">
        <f>(F15-F15*G15)</f>
        <v>0</v>
      </c>
    </row>
    <row r="16" spans="1:26" x14ac:dyDescent="0.2">
      <c r="A16" s="481"/>
      <c r="B16" s="239" t="s">
        <v>476</v>
      </c>
      <c r="C16" s="370">
        <v>0</v>
      </c>
      <c r="D16" s="93">
        <f t="shared" si="3"/>
        <v>0</v>
      </c>
      <c r="E16" s="371">
        <v>4</v>
      </c>
      <c r="F16" s="93">
        <f t="shared" si="4"/>
        <v>0</v>
      </c>
      <c r="G16" s="260">
        <v>0</v>
      </c>
      <c r="H16" s="93">
        <f t="shared" ref="H16:H40" si="5">(F16-F16*G16)</f>
        <v>0</v>
      </c>
    </row>
    <row r="17" spans="1:8" x14ac:dyDescent="0.2">
      <c r="A17" s="481"/>
      <c r="B17" s="239" t="s">
        <v>477</v>
      </c>
      <c r="C17" s="370">
        <v>0.05</v>
      </c>
      <c r="D17" s="93">
        <f t="shared" si="3"/>
        <v>0</v>
      </c>
      <c r="E17" s="371">
        <v>7</v>
      </c>
      <c r="F17" s="93">
        <f t="shared" si="4"/>
        <v>0</v>
      </c>
      <c r="G17" s="260">
        <v>0.02</v>
      </c>
      <c r="H17" s="93">
        <f t="shared" si="5"/>
        <v>0</v>
      </c>
    </row>
    <row r="18" spans="1:8" x14ac:dyDescent="0.2">
      <c r="A18" s="481"/>
      <c r="B18" s="239" t="s">
        <v>479</v>
      </c>
      <c r="C18" s="370">
        <v>0</v>
      </c>
      <c r="D18" s="93">
        <f t="shared" si="3"/>
        <v>0</v>
      </c>
      <c r="E18" s="371">
        <v>20</v>
      </c>
      <c r="F18" s="93">
        <f t="shared" si="4"/>
        <v>0</v>
      </c>
      <c r="G18" s="260">
        <v>0</v>
      </c>
      <c r="H18" s="93">
        <f t="shared" si="5"/>
        <v>0</v>
      </c>
    </row>
    <row r="19" spans="1:8" x14ac:dyDescent="0.2">
      <c r="A19" s="481"/>
      <c r="B19" s="239"/>
      <c r="C19" s="370">
        <v>0</v>
      </c>
      <c r="D19" s="93">
        <f t="shared" si="3"/>
        <v>0</v>
      </c>
      <c r="E19" s="371">
        <v>7</v>
      </c>
      <c r="F19" s="93">
        <f t="shared" si="4"/>
        <v>0</v>
      </c>
      <c r="G19" s="260">
        <v>0.1</v>
      </c>
      <c r="H19" s="93">
        <f t="shared" si="5"/>
        <v>0</v>
      </c>
    </row>
    <row r="20" spans="1:8" x14ac:dyDescent="0.2">
      <c r="A20" s="481"/>
      <c r="B20" s="239"/>
      <c r="C20" s="370">
        <v>0</v>
      </c>
      <c r="D20" s="93">
        <f t="shared" si="3"/>
        <v>0</v>
      </c>
      <c r="E20" s="371">
        <v>6</v>
      </c>
      <c r="F20" s="93">
        <f t="shared" si="4"/>
        <v>0</v>
      </c>
      <c r="G20" s="260">
        <v>0.02</v>
      </c>
      <c r="H20" s="93">
        <f t="shared" si="5"/>
        <v>0</v>
      </c>
    </row>
    <row r="21" spans="1:8" x14ac:dyDescent="0.2">
      <c r="A21" s="481"/>
      <c r="B21" s="239"/>
      <c r="C21" s="370">
        <v>0</v>
      </c>
      <c r="D21" s="93">
        <f t="shared" si="3"/>
        <v>0</v>
      </c>
      <c r="E21" s="371"/>
      <c r="F21" s="93">
        <f t="shared" si="4"/>
        <v>0</v>
      </c>
      <c r="G21" s="260">
        <v>0</v>
      </c>
      <c r="H21" s="93">
        <f t="shared" si="5"/>
        <v>0</v>
      </c>
    </row>
    <row r="22" spans="1:8" x14ac:dyDescent="0.2">
      <c r="A22" s="482"/>
      <c r="B22" s="239"/>
      <c r="C22" s="370">
        <v>0</v>
      </c>
      <c r="D22" s="93">
        <f t="shared" si="3"/>
        <v>0</v>
      </c>
      <c r="E22" s="371"/>
      <c r="F22" s="93">
        <f t="shared" si="4"/>
        <v>0</v>
      </c>
      <c r="G22" s="260">
        <v>0</v>
      </c>
      <c r="H22" s="93">
        <f t="shared" si="5"/>
        <v>0</v>
      </c>
    </row>
    <row r="23" spans="1:8" x14ac:dyDescent="0.2">
      <c r="A23" s="382" t="s">
        <v>492</v>
      </c>
      <c r="B23" s="262">
        <v>0</v>
      </c>
      <c r="C23" s="383">
        <f>B9*B23</f>
        <v>0</v>
      </c>
      <c r="D23" s="93"/>
      <c r="E23" s="371"/>
      <c r="F23" s="93"/>
      <c r="G23" s="260"/>
      <c r="H23" s="93"/>
    </row>
    <row r="24" spans="1:8" x14ac:dyDescent="0.2">
      <c r="A24" s="480" t="s">
        <v>387</v>
      </c>
      <c r="B24" s="239" t="s">
        <v>474</v>
      </c>
      <c r="C24" s="370">
        <v>0</v>
      </c>
      <c r="D24" s="93">
        <f>C$23*C24</f>
        <v>0</v>
      </c>
      <c r="E24" s="371">
        <v>10</v>
      </c>
      <c r="F24" s="93">
        <f t="shared" si="4"/>
        <v>0</v>
      </c>
      <c r="G24" s="260">
        <v>0.1</v>
      </c>
      <c r="H24" s="93">
        <f t="shared" si="5"/>
        <v>0</v>
      </c>
    </row>
    <row r="25" spans="1:8" x14ac:dyDescent="0.2">
      <c r="A25" s="481"/>
      <c r="B25" s="239" t="s">
        <v>475</v>
      </c>
      <c r="C25" s="370">
        <v>0.1</v>
      </c>
      <c r="D25" s="93">
        <f>C$23*C25</f>
        <v>0</v>
      </c>
      <c r="E25" s="371">
        <v>10</v>
      </c>
      <c r="F25" s="93">
        <f t="shared" si="4"/>
        <v>0</v>
      </c>
      <c r="G25" s="260">
        <v>0.1</v>
      </c>
      <c r="H25" s="93">
        <f t="shared" si="5"/>
        <v>0</v>
      </c>
    </row>
    <row r="26" spans="1:8" x14ac:dyDescent="0.2">
      <c r="A26" s="481"/>
      <c r="B26" s="239" t="s">
        <v>476</v>
      </c>
      <c r="C26" s="370">
        <v>0</v>
      </c>
      <c r="D26" s="93">
        <f>C$23*C26</f>
        <v>0</v>
      </c>
      <c r="E26" s="371">
        <v>10</v>
      </c>
      <c r="F26" s="93">
        <f t="shared" si="4"/>
        <v>0</v>
      </c>
      <c r="G26" s="260">
        <v>0.05</v>
      </c>
      <c r="H26" s="93">
        <f t="shared" si="5"/>
        <v>0</v>
      </c>
    </row>
    <row r="27" spans="1:8" x14ac:dyDescent="0.2">
      <c r="A27" s="481"/>
      <c r="B27" s="239" t="s">
        <v>477</v>
      </c>
      <c r="C27" s="370">
        <v>0</v>
      </c>
      <c r="D27" s="93">
        <f t="shared" ref="D27:D31" si="6">C$23*C27</f>
        <v>0</v>
      </c>
      <c r="E27" s="371">
        <v>20</v>
      </c>
      <c r="F27" s="93">
        <f t="shared" si="4"/>
        <v>0</v>
      </c>
      <c r="G27" s="260">
        <v>0</v>
      </c>
      <c r="H27" s="93">
        <f t="shared" si="5"/>
        <v>0</v>
      </c>
    </row>
    <row r="28" spans="1:8" x14ac:dyDescent="0.2">
      <c r="A28" s="481"/>
      <c r="B28" s="239" t="s">
        <v>478</v>
      </c>
      <c r="C28" s="370">
        <v>0</v>
      </c>
      <c r="D28" s="93">
        <f t="shared" si="6"/>
        <v>0</v>
      </c>
      <c r="E28" s="371"/>
      <c r="F28" s="93">
        <f t="shared" si="4"/>
        <v>0</v>
      </c>
      <c r="G28" s="260">
        <v>0</v>
      </c>
      <c r="H28" s="93">
        <f t="shared" si="5"/>
        <v>0</v>
      </c>
    </row>
    <row r="29" spans="1:8" x14ac:dyDescent="0.2">
      <c r="A29" s="481"/>
      <c r="B29" s="239"/>
      <c r="C29" s="370">
        <v>0</v>
      </c>
      <c r="D29" s="93">
        <f t="shared" si="6"/>
        <v>0</v>
      </c>
      <c r="E29" s="371"/>
      <c r="F29" s="93">
        <f t="shared" si="4"/>
        <v>0</v>
      </c>
      <c r="G29" s="260">
        <v>0</v>
      </c>
      <c r="H29" s="93">
        <f t="shared" si="5"/>
        <v>0</v>
      </c>
    </row>
    <row r="30" spans="1:8" x14ac:dyDescent="0.2">
      <c r="A30" s="481"/>
      <c r="B30" s="239"/>
      <c r="C30" s="370">
        <v>0</v>
      </c>
      <c r="D30" s="93">
        <f t="shared" si="6"/>
        <v>0</v>
      </c>
      <c r="E30" s="371"/>
      <c r="F30" s="93">
        <f t="shared" si="4"/>
        <v>0</v>
      </c>
      <c r="G30" s="260">
        <v>0</v>
      </c>
      <c r="H30" s="93">
        <f t="shared" si="5"/>
        <v>0</v>
      </c>
    </row>
    <row r="31" spans="1:8" x14ac:dyDescent="0.2">
      <c r="A31" s="482"/>
      <c r="B31" s="239"/>
      <c r="C31" s="370">
        <v>0</v>
      </c>
      <c r="D31" s="93">
        <f t="shared" si="6"/>
        <v>0</v>
      </c>
      <c r="E31" s="371"/>
      <c r="F31" s="93">
        <f t="shared" si="4"/>
        <v>0</v>
      </c>
      <c r="G31" s="260">
        <v>0</v>
      </c>
      <c r="H31" s="93">
        <f t="shared" si="5"/>
        <v>0</v>
      </c>
    </row>
    <row r="32" spans="1:8" x14ac:dyDescent="0.2">
      <c r="A32" s="382" t="s">
        <v>493</v>
      </c>
      <c r="B32" s="262">
        <v>0</v>
      </c>
      <c r="C32" s="239">
        <f>B9*B32</f>
        <v>0</v>
      </c>
      <c r="D32" s="93"/>
      <c r="E32" s="371"/>
      <c r="F32" s="93"/>
      <c r="G32" s="260"/>
      <c r="H32" s="93"/>
    </row>
    <row r="33" spans="1:8" x14ac:dyDescent="0.2">
      <c r="A33" s="374" t="s">
        <v>450</v>
      </c>
      <c r="B33" s="239"/>
      <c r="C33" s="370">
        <v>0</v>
      </c>
      <c r="D33" s="93">
        <f>C$32*C33</f>
        <v>0</v>
      </c>
      <c r="E33" s="371"/>
      <c r="F33" s="93">
        <f t="shared" si="4"/>
        <v>0</v>
      </c>
      <c r="G33" s="260">
        <v>0</v>
      </c>
      <c r="H33" s="93">
        <f t="shared" si="5"/>
        <v>0</v>
      </c>
    </row>
    <row r="34" spans="1:8" x14ac:dyDescent="0.2">
      <c r="A34" s="375"/>
      <c r="B34" s="239"/>
      <c r="C34" s="370">
        <v>0</v>
      </c>
      <c r="D34" s="93">
        <f>C$32*C34</f>
        <v>0</v>
      </c>
      <c r="E34" s="371"/>
      <c r="F34" s="93">
        <f t="shared" si="4"/>
        <v>0</v>
      </c>
      <c r="G34" s="260">
        <v>0</v>
      </c>
      <c r="H34" s="93">
        <f t="shared" si="5"/>
        <v>0</v>
      </c>
    </row>
    <row r="35" spans="1:8" x14ac:dyDescent="0.2">
      <c r="A35" s="375"/>
      <c r="B35" s="239"/>
      <c r="C35" s="370">
        <v>0</v>
      </c>
      <c r="D35" s="93">
        <f>C$32*C35</f>
        <v>0</v>
      </c>
      <c r="E35" s="371"/>
      <c r="F35" s="93">
        <f t="shared" si="4"/>
        <v>0</v>
      </c>
      <c r="G35" s="260">
        <v>0</v>
      </c>
      <c r="H35" s="93">
        <f t="shared" si="5"/>
        <v>0</v>
      </c>
    </row>
    <row r="36" spans="1:8" x14ac:dyDescent="0.2">
      <c r="A36" s="376"/>
      <c r="B36" s="239"/>
      <c r="C36" s="370">
        <v>0</v>
      </c>
      <c r="D36" s="93">
        <f>C$32*C36</f>
        <v>0</v>
      </c>
      <c r="E36" s="371"/>
      <c r="F36" s="93">
        <f t="shared" si="4"/>
        <v>0</v>
      </c>
      <c r="G36" s="260">
        <v>0</v>
      </c>
      <c r="H36" s="93">
        <f t="shared" si="5"/>
        <v>0</v>
      </c>
    </row>
    <row r="37" spans="1:8" x14ac:dyDescent="0.2">
      <c r="A37" s="434" t="s">
        <v>494</v>
      </c>
      <c r="B37" s="239" t="s">
        <v>480</v>
      </c>
      <c r="C37" s="370">
        <v>0.5</v>
      </c>
      <c r="D37" s="93">
        <f t="shared" si="3"/>
        <v>0</v>
      </c>
      <c r="E37" s="371">
        <v>6</v>
      </c>
      <c r="F37" s="93">
        <f t="shared" si="4"/>
        <v>0</v>
      </c>
      <c r="G37" s="260">
        <v>0.05</v>
      </c>
      <c r="H37" s="93">
        <f t="shared" si="5"/>
        <v>0</v>
      </c>
    </row>
    <row r="38" spans="1:8" x14ac:dyDescent="0.2">
      <c r="A38" s="434"/>
      <c r="B38" s="239" t="s">
        <v>481</v>
      </c>
      <c r="C38" s="370">
        <v>0</v>
      </c>
      <c r="D38" s="93">
        <f t="shared" si="3"/>
        <v>0</v>
      </c>
      <c r="E38" s="371"/>
      <c r="F38" s="93">
        <f t="shared" si="4"/>
        <v>0</v>
      </c>
      <c r="G38" s="260">
        <v>0</v>
      </c>
      <c r="H38" s="93">
        <f t="shared" si="5"/>
        <v>0</v>
      </c>
    </row>
    <row r="39" spans="1:8" x14ac:dyDescent="0.2">
      <c r="A39" s="434"/>
      <c r="B39" s="239" t="s">
        <v>482</v>
      </c>
      <c r="C39" s="370">
        <v>0</v>
      </c>
      <c r="D39" s="93">
        <f t="shared" si="3"/>
        <v>0</v>
      </c>
      <c r="E39" s="371"/>
      <c r="F39" s="93">
        <f t="shared" si="4"/>
        <v>0</v>
      </c>
      <c r="G39" s="260">
        <v>0</v>
      </c>
      <c r="H39" s="93">
        <f t="shared" si="5"/>
        <v>0</v>
      </c>
    </row>
    <row r="40" spans="1:8" x14ac:dyDescent="0.2">
      <c r="A40" s="434"/>
      <c r="B40" s="239" t="s">
        <v>483</v>
      </c>
      <c r="C40" s="370">
        <v>0</v>
      </c>
      <c r="D40" s="93">
        <f t="shared" si="3"/>
        <v>0</v>
      </c>
      <c r="E40" s="371"/>
      <c r="F40" s="93">
        <f t="shared" si="4"/>
        <v>0</v>
      </c>
      <c r="G40" s="260">
        <v>0</v>
      </c>
      <c r="H40" s="93">
        <f t="shared" si="5"/>
        <v>0</v>
      </c>
    </row>
    <row r="41" spans="1:8" x14ac:dyDescent="0.2">
      <c r="A41" s="479" t="s">
        <v>391</v>
      </c>
      <c r="B41" s="479"/>
      <c r="C41" s="479"/>
      <c r="D41" s="479"/>
      <c r="E41" s="479"/>
      <c r="F41" s="479"/>
      <c r="G41" s="479"/>
      <c r="H41" s="479"/>
    </row>
    <row r="43" spans="1:8" ht="18.75" x14ac:dyDescent="0.25">
      <c r="A43" s="483" t="s">
        <v>570</v>
      </c>
      <c r="B43" s="484"/>
      <c r="C43" s="484"/>
      <c r="D43" s="484"/>
      <c r="E43" s="484"/>
      <c r="F43" s="484"/>
      <c r="G43" s="484"/>
      <c r="H43" s="485"/>
    </row>
    <row r="44" spans="1:8" x14ac:dyDescent="0.2">
      <c r="A44" s="486" t="s">
        <v>0</v>
      </c>
      <c r="B44" s="377">
        <v>0.35</v>
      </c>
      <c r="C44" s="377">
        <f>B44+0.05</f>
        <v>0.39999999999999997</v>
      </c>
      <c r="D44" s="377">
        <f t="shared" ref="D44:G44" si="7">C44+0.05</f>
        <v>0.44999999999999996</v>
      </c>
      <c r="E44" s="377">
        <f t="shared" si="7"/>
        <v>0.49999999999999994</v>
      </c>
      <c r="F44" s="377">
        <f t="shared" si="7"/>
        <v>0.54999999999999993</v>
      </c>
      <c r="G44" s="377">
        <f t="shared" si="7"/>
        <v>0.6</v>
      </c>
      <c r="H44" s="377">
        <f>G44+0.05</f>
        <v>0.65</v>
      </c>
    </row>
    <row r="45" spans="1:8" x14ac:dyDescent="0.2">
      <c r="A45" s="487"/>
      <c r="B45" s="139" t="s">
        <v>2</v>
      </c>
      <c r="C45" s="139" t="s">
        <v>3</v>
      </c>
      <c r="D45" s="139" t="s">
        <v>4</v>
      </c>
      <c r="E45" s="139" t="s">
        <v>5</v>
      </c>
      <c r="F45" s="139" t="s">
        <v>6</v>
      </c>
      <c r="G45" s="139" t="s">
        <v>168</v>
      </c>
      <c r="H45" s="139" t="s">
        <v>167</v>
      </c>
    </row>
    <row r="46" spans="1:8" x14ac:dyDescent="0.2">
      <c r="A46" s="93" t="str">
        <f t="shared" ref="A46:A54" si="8">B14</f>
        <v>Onion</v>
      </c>
      <c r="B46" s="93">
        <f t="shared" ref="B46:B54" si="9">H14*$B$44</f>
        <v>0</v>
      </c>
      <c r="C46" s="93">
        <f t="shared" ref="C46:H61" si="10">(B46/B$44)*C$44</f>
        <v>0</v>
      </c>
      <c r="D46" s="93">
        <f t="shared" si="10"/>
        <v>0</v>
      </c>
      <c r="E46" s="93">
        <f t="shared" si="10"/>
        <v>0</v>
      </c>
      <c r="F46" s="93">
        <f t="shared" si="10"/>
        <v>0</v>
      </c>
      <c r="G46" s="93">
        <f t="shared" si="10"/>
        <v>0</v>
      </c>
      <c r="H46" s="93">
        <f t="shared" si="10"/>
        <v>0</v>
      </c>
    </row>
    <row r="47" spans="1:8" x14ac:dyDescent="0.2">
      <c r="A47" s="93" t="str">
        <f t="shared" si="8"/>
        <v>Tomato</v>
      </c>
      <c r="B47" s="93">
        <f t="shared" si="9"/>
        <v>0</v>
      </c>
      <c r="C47" s="93">
        <f t="shared" si="10"/>
        <v>0</v>
      </c>
      <c r="D47" s="93">
        <f t="shared" si="10"/>
        <v>0</v>
      </c>
      <c r="E47" s="93">
        <f t="shared" si="10"/>
        <v>0</v>
      </c>
      <c r="F47" s="93">
        <f t="shared" si="10"/>
        <v>0</v>
      </c>
      <c r="G47" s="93">
        <f t="shared" si="10"/>
        <v>0</v>
      </c>
      <c r="H47" s="93">
        <f t="shared" si="10"/>
        <v>0</v>
      </c>
    </row>
    <row r="48" spans="1:8" x14ac:dyDescent="0.2">
      <c r="A48" s="93" t="str">
        <f t="shared" si="8"/>
        <v>Okra</v>
      </c>
      <c r="B48" s="93">
        <f t="shared" si="9"/>
        <v>0</v>
      </c>
      <c r="C48" s="93">
        <f t="shared" si="10"/>
        <v>0</v>
      </c>
      <c r="D48" s="93">
        <f t="shared" si="10"/>
        <v>0</v>
      </c>
      <c r="E48" s="93">
        <f t="shared" si="10"/>
        <v>0</v>
      </c>
      <c r="F48" s="93">
        <f t="shared" si="10"/>
        <v>0</v>
      </c>
      <c r="G48" s="93">
        <f t="shared" si="10"/>
        <v>0</v>
      </c>
      <c r="H48" s="93">
        <f t="shared" si="10"/>
        <v>0</v>
      </c>
    </row>
    <row r="49" spans="1:8" x14ac:dyDescent="0.2">
      <c r="A49" s="93" t="str">
        <f t="shared" si="8"/>
        <v>Chilli</v>
      </c>
      <c r="B49" s="93">
        <f t="shared" si="9"/>
        <v>0</v>
      </c>
      <c r="C49" s="93">
        <f t="shared" si="10"/>
        <v>0</v>
      </c>
      <c r="D49" s="93">
        <f t="shared" si="10"/>
        <v>0</v>
      </c>
      <c r="E49" s="93">
        <f t="shared" si="10"/>
        <v>0</v>
      </c>
      <c r="F49" s="93">
        <f t="shared" si="10"/>
        <v>0</v>
      </c>
      <c r="G49" s="93">
        <f t="shared" si="10"/>
        <v>0</v>
      </c>
      <c r="H49" s="93">
        <f t="shared" si="10"/>
        <v>0</v>
      </c>
    </row>
    <row r="50" spans="1:8" x14ac:dyDescent="0.2">
      <c r="A50" s="93" t="str">
        <f t="shared" si="8"/>
        <v>Potato</v>
      </c>
      <c r="B50" s="93">
        <f t="shared" si="9"/>
        <v>0</v>
      </c>
      <c r="C50" s="93">
        <f t="shared" si="10"/>
        <v>0</v>
      </c>
      <c r="D50" s="93">
        <f t="shared" si="10"/>
        <v>0</v>
      </c>
      <c r="E50" s="93">
        <f t="shared" si="10"/>
        <v>0</v>
      </c>
      <c r="F50" s="93">
        <f t="shared" si="10"/>
        <v>0</v>
      </c>
      <c r="G50" s="93">
        <f t="shared" si="10"/>
        <v>0</v>
      </c>
      <c r="H50" s="93">
        <f t="shared" si="10"/>
        <v>0</v>
      </c>
    </row>
    <row r="51" spans="1:8" x14ac:dyDescent="0.2">
      <c r="A51" s="93">
        <f t="shared" si="8"/>
        <v>0</v>
      </c>
      <c r="B51" s="93">
        <f t="shared" si="9"/>
        <v>0</v>
      </c>
      <c r="C51" s="93">
        <f t="shared" si="10"/>
        <v>0</v>
      </c>
      <c r="D51" s="93">
        <f t="shared" si="10"/>
        <v>0</v>
      </c>
      <c r="E51" s="93">
        <f t="shared" si="10"/>
        <v>0</v>
      </c>
      <c r="F51" s="93">
        <f t="shared" si="10"/>
        <v>0</v>
      </c>
      <c r="G51" s="93">
        <f t="shared" si="10"/>
        <v>0</v>
      </c>
      <c r="H51" s="93">
        <f t="shared" si="10"/>
        <v>0</v>
      </c>
    </row>
    <row r="52" spans="1:8" x14ac:dyDescent="0.2">
      <c r="A52" s="93">
        <f t="shared" si="8"/>
        <v>0</v>
      </c>
      <c r="B52" s="93">
        <f t="shared" si="9"/>
        <v>0</v>
      </c>
      <c r="C52" s="93">
        <f t="shared" si="10"/>
        <v>0</v>
      </c>
      <c r="D52" s="93">
        <f t="shared" si="10"/>
        <v>0</v>
      </c>
      <c r="E52" s="93">
        <f t="shared" si="10"/>
        <v>0</v>
      </c>
      <c r="F52" s="93">
        <f t="shared" si="10"/>
        <v>0</v>
      </c>
      <c r="G52" s="93">
        <f t="shared" si="10"/>
        <v>0</v>
      </c>
      <c r="H52" s="93">
        <f t="shared" si="10"/>
        <v>0</v>
      </c>
    </row>
    <row r="53" spans="1:8" x14ac:dyDescent="0.2">
      <c r="A53" s="93">
        <f t="shared" si="8"/>
        <v>0</v>
      </c>
      <c r="B53" s="93">
        <f t="shared" si="9"/>
        <v>0</v>
      </c>
      <c r="C53" s="93">
        <f t="shared" si="10"/>
        <v>0</v>
      </c>
      <c r="D53" s="93">
        <f t="shared" si="10"/>
        <v>0</v>
      </c>
      <c r="E53" s="93">
        <f t="shared" si="10"/>
        <v>0</v>
      </c>
      <c r="F53" s="93">
        <f t="shared" si="10"/>
        <v>0</v>
      </c>
      <c r="G53" s="93">
        <f t="shared" si="10"/>
        <v>0</v>
      </c>
      <c r="H53" s="93">
        <f t="shared" si="10"/>
        <v>0</v>
      </c>
    </row>
    <row r="54" spans="1:8" x14ac:dyDescent="0.2">
      <c r="A54" s="93">
        <f t="shared" si="8"/>
        <v>0</v>
      </c>
      <c r="B54" s="93">
        <f t="shared" si="9"/>
        <v>0</v>
      </c>
      <c r="C54" s="93">
        <f t="shared" si="10"/>
        <v>0</v>
      </c>
      <c r="D54" s="93">
        <f t="shared" si="10"/>
        <v>0</v>
      </c>
      <c r="E54" s="93">
        <f t="shared" si="10"/>
        <v>0</v>
      </c>
      <c r="F54" s="93">
        <f t="shared" si="10"/>
        <v>0</v>
      </c>
      <c r="G54" s="93">
        <f t="shared" si="10"/>
        <v>0</v>
      </c>
      <c r="H54" s="93">
        <f t="shared" si="10"/>
        <v>0</v>
      </c>
    </row>
    <row r="55" spans="1:8" x14ac:dyDescent="0.2">
      <c r="A55" s="93" t="str">
        <f t="shared" ref="A55:A62" si="11">B24</f>
        <v>Onion</v>
      </c>
      <c r="B55" s="93">
        <f t="shared" ref="B55:B61" si="12">H24*$B$44</f>
        <v>0</v>
      </c>
      <c r="C55" s="93">
        <f t="shared" si="10"/>
        <v>0</v>
      </c>
      <c r="D55" s="93">
        <f t="shared" si="10"/>
        <v>0</v>
      </c>
      <c r="E55" s="93">
        <f t="shared" si="10"/>
        <v>0</v>
      </c>
      <c r="F55" s="93">
        <f t="shared" si="10"/>
        <v>0</v>
      </c>
      <c r="G55" s="93">
        <f t="shared" si="10"/>
        <v>0</v>
      </c>
      <c r="H55" s="93">
        <f t="shared" si="10"/>
        <v>0</v>
      </c>
    </row>
    <row r="56" spans="1:8" x14ac:dyDescent="0.2">
      <c r="A56" s="93" t="str">
        <f t="shared" si="11"/>
        <v>Tomato</v>
      </c>
      <c r="B56" s="93">
        <f t="shared" si="12"/>
        <v>0</v>
      </c>
      <c r="C56" s="93">
        <f t="shared" si="10"/>
        <v>0</v>
      </c>
      <c r="D56" s="93">
        <f t="shared" si="10"/>
        <v>0</v>
      </c>
      <c r="E56" s="93">
        <f t="shared" si="10"/>
        <v>0</v>
      </c>
      <c r="F56" s="93">
        <f t="shared" si="10"/>
        <v>0</v>
      </c>
      <c r="G56" s="93">
        <f t="shared" si="10"/>
        <v>0</v>
      </c>
      <c r="H56" s="93">
        <f t="shared" si="10"/>
        <v>0</v>
      </c>
    </row>
    <row r="57" spans="1:8" x14ac:dyDescent="0.2">
      <c r="A57" s="93" t="str">
        <f t="shared" si="11"/>
        <v>Okra</v>
      </c>
      <c r="B57" s="93">
        <f t="shared" si="12"/>
        <v>0</v>
      </c>
      <c r="C57" s="93">
        <f t="shared" si="10"/>
        <v>0</v>
      </c>
      <c r="D57" s="93">
        <f t="shared" si="10"/>
        <v>0</v>
      </c>
      <c r="E57" s="93">
        <f t="shared" si="10"/>
        <v>0</v>
      </c>
      <c r="F57" s="93">
        <f t="shared" si="10"/>
        <v>0</v>
      </c>
      <c r="G57" s="93">
        <f t="shared" si="10"/>
        <v>0</v>
      </c>
      <c r="H57" s="93">
        <f t="shared" si="10"/>
        <v>0</v>
      </c>
    </row>
    <row r="58" spans="1:8" x14ac:dyDescent="0.2">
      <c r="A58" s="93" t="str">
        <f t="shared" si="11"/>
        <v>Chilli</v>
      </c>
      <c r="B58" s="93">
        <f t="shared" si="12"/>
        <v>0</v>
      </c>
      <c r="C58" s="93">
        <f t="shared" si="10"/>
        <v>0</v>
      </c>
      <c r="D58" s="93">
        <f t="shared" si="10"/>
        <v>0</v>
      </c>
      <c r="E58" s="93">
        <f t="shared" si="10"/>
        <v>0</v>
      </c>
      <c r="F58" s="93">
        <f t="shared" si="10"/>
        <v>0</v>
      </c>
      <c r="G58" s="93">
        <f t="shared" si="10"/>
        <v>0</v>
      </c>
      <c r="H58" s="93">
        <f t="shared" si="10"/>
        <v>0</v>
      </c>
    </row>
    <row r="59" spans="1:8" x14ac:dyDescent="0.2">
      <c r="A59" s="93" t="str">
        <f t="shared" si="11"/>
        <v>Brinjal</v>
      </c>
      <c r="B59" s="93">
        <f t="shared" si="12"/>
        <v>0</v>
      </c>
      <c r="C59" s="93">
        <f t="shared" si="10"/>
        <v>0</v>
      </c>
      <c r="D59" s="93">
        <f t="shared" si="10"/>
        <v>0</v>
      </c>
      <c r="E59" s="93">
        <f t="shared" si="10"/>
        <v>0</v>
      </c>
      <c r="F59" s="93">
        <f t="shared" si="10"/>
        <v>0</v>
      </c>
      <c r="G59" s="93">
        <f t="shared" si="10"/>
        <v>0</v>
      </c>
      <c r="H59" s="93">
        <f t="shared" si="10"/>
        <v>0</v>
      </c>
    </row>
    <row r="60" spans="1:8" x14ac:dyDescent="0.2">
      <c r="A60" s="93">
        <f t="shared" si="11"/>
        <v>0</v>
      </c>
      <c r="B60" s="93">
        <f t="shared" si="12"/>
        <v>0</v>
      </c>
      <c r="C60" s="93">
        <f t="shared" si="10"/>
        <v>0</v>
      </c>
      <c r="D60" s="93">
        <f t="shared" si="10"/>
        <v>0</v>
      </c>
      <c r="E60" s="93">
        <f t="shared" si="10"/>
        <v>0</v>
      </c>
      <c r="F60" s="93">
        <f t="shared" si="10"/>
        <v>0</v>
      </c>
      <c r="G60" s="93">
        <f t="shared" si="10"/>
        <v>0</v>
      </c>
      <c r="H60" s="93">
        <f t="shared" si="10"/>
        <v>0</v>
      </c>
    </row>
    <row r="61" spans="1:8" x14ac:dyDescent="0.2">
      <c r="A61" s="93">
        <f t="shared" si="11"/>
        <v>0</v>
      </c>
      <c r="B61" s="93">
        <f t="shared" si="12"/>
        <v>0</v>
      </c>
      <c r="C61" s="93">
        <f t="shared" si="10"/>
        <v>0</v>
      </c>
      <c r="D61" s="93">
        <f t="shared" si="10"/>
        <v>0</v>
      </c>
      <c r="E61" s="93">
        <f t="shared" si="10"/>
        <v>0</v>
      </c>
      <c r="F61" s="93">
        <f t="shared" si="10"/>
        <v>0</v>
      </c>
      <c r="G61" s="93">
        <f t="shared" si="10"/>
        <v>0</v>
      </c>
      <c r="H61" s="93">
        <f t="shared" si="10"/>
        <v>0</v>
      </c>
    </row>
    <row r="62" spans="1:8" x14ac:dyDescent="0.2">
      <c r="A62" s="93">
        <f t="shared" si="11"/>
        <v>0</v>
      </c>
      <c r="B62" s="93">
        <f t="shared" ref="B62" si="13">H31*$B$44</f>
        <v>0</v>
      </c>
      <c r="C62" s="93">
        <f t="shared" ref="C62:H70" si="14">(B62/B$44)*C$44</f>
        <v>0</v>
      </c>
      <c r="D62" s="93">
        <f t="shared" si="14"/>
        <v>0</v>
      </c>
      <c r="E62" s="93">
        <f t="shared" si="14"/>
        <v>0</v>
      </c>
      <c r="F62" s="93">
        <f t="shared" si="14"/>
        <v>0</v>
      </c>
      <c r="G62" s="93">
        <f t="shared" si="14"/>
        <v>0</v>
      </c>
      <c r="H62" s="93">
        <f t="shared" si="14"/>
        <v>0</v>
      </c>
    </row>
    <row r="63" spans="1:8" x14ac:dyDescent="0.2">
      <c r="A63" s="93">
        <f t="shared" ref="A63:A66" si="15">B33</f>
        <v>0</v>
      </c>
      <c r="B63" s="93">
        <f t="shared" ref="B63:B70" si="16">H33*$B$44</f>
        <v>0</v>
      </c>
      <c r="C63" s="93">
        <f t="shared" si="14"/>
        <v>0</v>
      </c>
      <c r="D63" s="93">
        <f t="shared" ref="D63:D66" si="17">(C63/C$44)*D$44</f>
        <v>0</v>
      </c>
      <c r="E63" s="93">
        <f t="shared" ref="E63:E66" si="18">(D63/D$44)*E$44</f>
        <v>0</v>
      </c>
      <c r="F63" s="93">
        <f t="shared" ref="F63:F66" si="19">(E63/E$44)*F$44</f>
        <v>0</v>
      </c>
      <c r="G63" s="93">
        <f t="shared" ref="G63:G66" si="20">(F63/F$44)*G$44</f>
        <v>0</v>
      </c>
      <c r="H63" s="93">
        <f t="shared" ref="H63:H66" si="21">(G63/G$44)*H$44</f>
        <v>0</v>
      </c>
    </row>
    <row r="64" spans="1:8" x14ac:dyDescent="0.2">
      <c r="A64" s="93">
        <f t="shared" si="15"/>
        <v>0</v>
      </c>
      <c r="B64" s="93">
        <f t="shared" si="16"/>
        <v>0</v>
      </c>
      <c r="C64" s="93">
        <f t="shared" si="14"/>
        <v>0</v>
      </c>
      <c r="D64" s="93">
        <f t="shared" si="17"/>
        <v>0</v>
      </c>
      <c r="E64" s="93">
        <f t="shared" si="18"/>
        <v>0</v>
      </c>
      <c r="F64" s="93">
        <f t="shared" si="19"/>
        <v>0</v>
      </c>
      <c r="G64" s="93">
        <f t="shared" si="20"/>
        <v>0</v>
      </c>
      <c r="H64" s="93">
        <f t="shared" si="21"/>
        <v>0</v>
      </c>
    </row>
    <row r="65" spans="1:8" x14ac:dyDescent="0.2">
      <c r="A65" s="93">
        <f t="shared" si="15"/>
        <v>0</v>
      </c>
      <c r="B65" s="93">
        <f t="shared" si="16"/>
        <v>0</v>
      </c>
      <c r="C65" s="93">
        <f t="shared" si="14"/>
        <v>0</v>
      </c>
      <c r="D65" s="93">
        <f t="shared" si="17"/>
        <v>0</v>
      </c>
      <c r="E65" s="93">
        <f t="shared" si="18"/>
        <v>0</v>
      </c>
      <c r="F65" s="93">
        <f t="shared" si="19"/>
        <v>0</v>
      </c>
      <c r="G65" s="93">
        <f t="shared" si="20"/>
        <v>0</v>
      </c>
      <c r="H65" s="93">
        <f t="shared" si="21"/>
        <v>0</v>
      </c>
    </row>
    <row r="66" spans="1:8" x14ac:dyDescent="0.2">
      <c r="A66" s="93">
        <f t="shared" si="15"/>
        <v>0</v>
      </c>
      <c r="B66" s="93">
        <f t="shared" si="16"/>
        <v>0</v>
      </c>
      <c r="C66" s="93">
        <f t="shared" si="14"/>
        <v>0</v>
      </c>
      <c r="D66" s="93">
        <f t="shared" si="17"/>
        <v>0</v>
      </c>
      <c r="E66" s="93">
        <f t="shared" si="18"/>
        <v>0</v>
      </c>
      <c r="F66" s="93">
        <f t="shared" si="19"/>
        <v>0</v>
      </c>
      <c r="G66" s="93">
        <f t="shared" si="20"/>
        <v>0</v>
      </c>
      <c r="H66" s="93">
        <f t="shared" si="21"/>
        <v>0</v>
      </c>
    </row>
    <row r="67" spans="1:8" x14ac:dyDescent="0.2">
      <c r="A67" s="93" t="str">
        <f>B37</f>
        <v>Pomegranate</v>
      </c>
      <c r="B67" s="93">
        <f t="shared" si="16"/>
        <v>0</v>
      </c>
      <c r="C67" s="93">
        <f t="shared" si="14"/>
        <v>0</v>
      </c>
      <c r="D67" s="93">
        <f t="shared" si="14"/>
        <v>0</v>
      </c>
      <c r="E67" s="93">
        <f t="shared" si="14"/>
        <v>0</v>
      </c>
      <c r="F67" s="93">
        <f t="shared" si="14"/>
        <v>0</v>
      </c>
      <c r="G67" s="93">
        <f t="shared" si="14"/>
        <v>0</v>
      </c>
      <c r="H67" s="93">
        <f t="shared" si="14"/>
        <v>0</v>
      </c>
    </row>
    <row r="68" spans="1:8" x14ac:dyDescent="0.2">
      <c r="A68" s="93" t="str">
        <f t="shared" ref="A68:A70" si="22">B38</f>
        <v>Custard Apple</v>
      </c>
      <c r="B68" s="93">
        <f t="shared" si="16"/>
        <v>0</v>
      </c>
      <c r="C68" s="93">
        <f t="shared" si="14"/>
        <v>0</v>
      </c>
      <c r="D68" s="93">
        <f t="shared" si="14"/>
        <v>0</v>
      </c>
      <c r="E68" s="93">
        <f t="shared" si="14"/>
        <v>0</v>
      </c>
      <c r="F68" s="93">
        <f t="shared" si="14"/>
        <v>0</v>
      </c>
      <c r="G68" s="93">
        <f t="shared" si="14"/>
        <v>0</v>
      </c>
      <c r="H68" s="93">
        <f t="shared" si="14"/>
        <v>0</v>
      </c>
    </row>
    <row r="69" spans="1:8" x14ac:dyDescent="0.2">
      <c r="A69" s="93" t="str">
        <f t="shared" si="22"/>
        <v>Guava</v>
      </c>
      <c r="B69" s="93">
        <f t="shared" si="16"/>
        <v>0</v>
      </c>
      <c r="C69" s="93">
        <f t="shared" si="14"/>
        <v>0</v>
      </c>
      <c r="D69" s="93">
        <f t="shared" si="14"/>
        <v>0</v>
      </c>
      <c r="E69" s="93">
        <f t="shared" si="14"/>
        <v>0</v>
      </c>
      <c r="F69" s="93">
        <f t="shared" si="14"/>
        <v>0</v>
      </c>
      <c r="G69" s="93">
        <f t="shared" si="14"/>
        <v>0</v>
      </c>
      <c r="H69" s="93">
        <f t="shared" si="14"/>
        <v>0</v>
      </c>
    </row>
    <row r="70" spans="1:8" x14ac:dyDescent="0.2">
      <c r="A70" s="93" t="str">
        <f t="shared" si="22"/>
        <v>Citrus</v>
      </c>
      <c r="B70" s="93">
        <f t="shared" si="16"/>
        <v>0</v>
      </c>
      <c r="C70" s="93">
        <f t="shared" si="14"/>
        <v>0</v>
      </c>
      <c r="D70" s="93">
        <f t="shared" si="14"/>
        <v>0</v>
      </c>
      <c r="E70" s="93">
        <f t="shared" ref="E70" si="23">(D70/D$44)*E$44</f>
        <v>0</v>
      </c>
      <c r="F70" s="93">
        <f t="shared" ref="F70" si="24">(E70/E$44)*F$44</f>
        <v>0</v>
      </c>
      <c r="G70" s="93">
        <f t="shared" ref="G70:H70" si="25">(F70/F$44)*G$44</f>
        <v>0</v>
      </c>
      <c r="H70" s="93">
        <f t="shared" si="25"/>
        <v>0</v>
      </c>
    </row>
    <row r="71" spans="1:8" ht="18.75" x14ac:dyDescent="0.25">
      <c r="A71" s="488" t="s">
        <v>571</v>
      </c>
      <c r="B71" s="489"/>
      <c r="C71" s="489"/>
      <c r="D71" s="489"/>
      <c r="E71" s="489"/>
      <c r="F71" s="489"/>
      <c r="G71" s="489"/>
      <c r="H71" s="490"/>
    </row>
    <row r="72" spans="1:8" x14ac:dyDescent="0.2">
      <c r="A72" s="491" t="s">
        <v>0</v>
      </c>
      <c r="B72" s="379">
        <v>0.05</v>
      </c>
      <c r="C72" s="379">
        <f>B72+0.05</f>
        <v>0.1</v>
      </c>
      <c r="D72" s="379">
        <f t="shared" ref="D72:G72" si="26">C72+0.05</f>
        <v>0.15000000000000002</v>
      </c>
      <c r="E72" s="379">
        <f t="shared" si="26"/>
        <v>0.2</v>
      </c>
      <c r="F72" s="379">
        <f t="shared" si="26"/>
        <v>0.25</v>
      </c>
      <c r="G72" s="379">
        <f t="shared" si="26"/>
        <v>0.3</v>
      </c>
      <c r="H72" s="379">
        <f>G72+0.05</f>
        <v>0.35</v>
      </c>
    </row>
    <row r="73" spans="1:8" x14ac:dyDescent="0.2">
      <c r="A73" s="492"/>
      <c r="B73" s="139" t="s">
        <v>2</v>
      </c>
      <c r="C73" s="139" t="s">
        <v>3</v>
      </c>
      <c r="D73" s="139" t="s">
        <v>4</v>
      </c>
      <c r="E73" s="139" t="s">
        <v>5</v>
      </c>
      <c r="F73" s="139" t="s">
        <v>6</v>
      </c>
      <c r="G73" s="139" t="s">
        <v>168</v>
      </c>
      <c r="H73" s="139" t="s">
        <v>167</v>
      </c>
    </row>
    <row r="74" spans="1:8" x14ac:dyDescent="0.2">
      <c r="A74" s="93" t="str">
        <f t="shared" ref="A74:A98" si="27">A46</f>
        <v>Onion</v>
      </c>
      <c r="B74" s="93">
        <f t="shared" ref="B74:H74" si="28">H14*$B$72</f>
        <v>0</v>
      </c>
      <c r="C74" s="93">
        <f t="shared" si="28"/>
        <v>0</v>
      </c>
      <c r="D74" s="93">
        <f t="shared" si="28"/>
        <v>0</v>
      </c>
      <c r="E74" s="93">
        <f t="shared" si="28"/>
        <v>0</v>
      </c>
      <c r="F74" s="93">
        <f t="shared" si="28"/>
        <v>0</v>
      </c>
      <c r="G74" s="93">
        <f t="shared" si="28"/>
        <v>0</v>
      </c>
      <c r="H74" s="93">
        <f t="shared" si="28"/>
        <v>0</v>
      </c>
    </row>
    <row r="75" spans="1:8" x14ac:dyDescent="0.2">
      <c r="A75" s="93" t="str">
        <f t="shared" si="27"/>
        <v>Tomato</v>
      </c>
      <c r="B75" s="93">
        <f>H15*$B$72*0</f>
        <v>0</v>
      </c>
      <c r="C75" s="93">
        <f>(B75/B72)*C72</f>
        <v>0</v>
      </c>
      <c r="D75" s="93">
        <f t="shared" ref="D75:G75" si="29">(C75/C72)*D72</f>
        <v>0</v>
      </c>
      <c r="E75" s="93">
        <f t="shared" si="29"/>
        <v>0</v>
      </c>
      <c r="F75" s="93">
        <f t="shared" si="29"/>
        <v>0</v>
      </c>
      <c r="G75" s="93">
        <f t="shared" si="29"/>
        <v>0</v>
      </c>
      <c r="H75" s="93">
        <f>(G75/G72)*H72</f>
        <v>0</v>
      </c>
    </row>
    <row r="76" spans="1:8" x14ac:dyDescent="0.2">
      <c r="A76" s="93" t="str">
        <f t="shared" si="27"/>
        <v>Okra</v>
      </c>
      <c r="B76" s="93">
        <f t="shared" ref="B76:B82" si="30">H16*$B$72</f>
        <v>0</v>
      </c>
      <c r="C76" s="93">
        <f>(B76/B72)*C72</f>
        <v>0</v>
      </c>
      <c r="D76" s="93">
        <f>(C76/C72)*D72</f>
        <v>0</v>
      </c>
      <c r="E76" s="93">
        <f t="shared" ref="E76:G76" si="31">(D76/D72)*E72</f>
        <v>0</v>
      </c>
      <c r="F76" s="93">
        <f t="shared" si="31"/>
        <v>0</v>
      </c>
      <c r="G76" s="93">
        <f t="shared" si="31"/>
        <v>0</v>
      </c>
      <c r="H76" s="93">
        <f>(G76/G72)*H72</f>
        <v>0</v>
      </c>
    </row>
    <row r="77" spans="1:8" x14ac:dyDescent="0.2">
      <c r="A77" s="93" t="str">
        <f t="shared" si="27"/>
        <v>Chilli</v>
      </c>
      <c r="B77" s="93">
        <f>H17*$B$72*0</f>
        <v>0</v>
      </c>
      <c r="C77" s="93">
        <f t="shared" ref="C77:H95" si="32">(B77/B$72)*C$72</f>
        <v>0</v>
      </c>
      <c r="D77" s="93">
        <f t="shared" si="32"/>
        <v>0</v>
      </c>
      <c r="E77" s="93">
        <f t="shared" si="32"/>
        <v>0</v>
      </c>
      <c r="F77" s="93">
        <f t="shared" si="32"/>
        <v>0</v>
      </c>
      <c r="G77" s="93">
        <f t="shared" si="32"/>
        <v>0</v>
      </c>
      <c r="H77" s="93">
        <f t="shared" si="32"/>
        <v>0</v>
      </c>
    </row>
    <row r="78" spans="1:8" x14ac:dyDescent="0.2">
      <c r="A78" s="93" t="str">
        <f t="shared" si="27"/>
        <v>Potato</v>
      </c>
      <c r="B78" s="93">
        <f t="shared" si="30"/>
        <v>0</v>
      </c>
      <c r="C78" s="93">
        <f t="shared" si="32"/>
        <v>0</v>
      </c>
      <c r="D78" s="93">
        <f t="shared" si="32"/>
        <v>0</v>
      </c>
      <c r="E78" s="93">
        <f t="shared" si="32"/>
        <v>0</v>
      </c>
      <c r="F78" s="93">
        <f t="shared" si="32"/>
        <v>0</v>
      </c>
      <c r="G78" s="93">
        <f t="shared" si="32"/>
        <v>0</v>
      </c>
      <c r="H78" s="93">
        <f t="shared" si="32"/>
        <v>0</v>
      </c>
    </row>
    <row r="79" spans="1:8" x14ac:dyDescent="0.2">
      <c r="A79" s="93">
        <f t="shared" si="27"/>
        <v>0</v>
      </c>
      <c r="B79" s="93">
        <f>H19*$B$72</f>
        <v>0</v>
      </c>
      <c r="C79" s="93">
        <f t="shared" si="32"/>
        <v>0</v>
      </c>
      <c r="D79" s="93">
        <f t="shared" si="32"/>
        <v>0</v>
      </c>
      <c r="E79" s="93">
        <f t="shared" si="32"/>
        <v>0</v>
      </c>
      <c r="F79" s="93">
        <f t="shared" si="32"/>
        <v>0</v>
      </c>
      <c r="G79" s="93">
        <f t="shared" si="32"/>
        <v>0</v>
      </c>
      <c r="H79" s="93">
        <f t="shared" si="32"/>
        <v>0</v>
      </c>
    </row>
    <row r="80" spans="1:8" x14ac:dyDescent="0.2">
      <c r="A80" s="93">
        <f t="shared" si="27"/>
        <v>0</v>
      </c>
      <c r="B80" s="93">
        <f>H20*$B$72</f>
        <v>0</v>
      </c>
      <c r="C80" s="93">
        <f t="shared" si="32"/>
        <v>0</v>
      </c>
      <c r="D80" s="93">
        <f t="shared" si="32"/>
        <v>0</v>
      </c>
      <c r="E80" s="93">
        <f t="shared" si="32"/>
        <v>0</v>
      </c>
      <c r="F80" s="93">
        <f t="shared" si="32"/>
        <v>0</v>
      </c>
      <c r="G80" s="93">
        <f t="shared" si="32"/>
        <v>0</v>
      </c>
      <c r="H80" s="93">
        <f t="shared" si="32"/>
        <v>0</v>
      </c>
    </row>
    <row r="81" spans="1:8" x14ac:dyDescent="0.2">
      <c r="A81" s="93">
        <f t="shared" si="27"/>
        <v>0</v>
      </c>
      <c r="B81" s="93">
        <f t="shared" si="30"/>
        <v>0</v>
      </c>
      <c r="C81" s="93">
        <f t="shared" si="32"/>
        <v>0</v>
      </c>
      <c r="D81" s="93">
        <f t="shared" si="32"/>
        <v>0</v>
      </c>
      <c r="E81" s="93">
        <f t="shared" si="32"/>
        <v>0</v>
      </c>
      <c r="F81" s="93">
        <f t="shared" si="32"/>
        <v>0</v>
      </c>
      <c r="G81" s="93">
        <f t="shared" si="32"/>
        <v>0</v>
      </c>
      <c r="H81" s="93">
        <f t="shared" si="32"/>
        <v>0</v>
      </c>
    </row>
    <row r="82" spans="1:8" x14ac:dyDescent="0.2">
      <c r="A82" s="93">
        <f t="shared" si="27"/>
        <v>0</v>
      </c>
      <c r="B82" s="93">
        <f t="shared" si="30"/>
        <v>0</v>
      </c>
      <c r="C82" s="93">
        <f t="shared" si="32"/>
        <v>0</v>
      </c>
      <c r="D82" s="93">
        <f t="shared" si="32"/>
        <v>0</v>
      </c>
      <c r="E82" s="93">
        <f t="shared" si="32"/>
        <v>0</v>
      </c>
      <c r="F82" s="93">
        <f t="shared" si="32"/>
        <v>0</v>
      </c>
      <c r="G82" s="93">
        <f t="shared" si="32"/>
        <v>0</v>
      </c>
      <c r="H82" s="93">
        <f t="shared" si="32"/>
        <v>0</v>
      </c>
    </row>
    <row r="83" spans="1:8" x14ac:dyDescent="0.2">
      <c r="A83" s="93" t="str">
        <f t="shared" si="27"/>
        <v>Onion</v>
      </c>
      <c r="B83" s="93">
        <f t="shared" ref="B83:B90" si="33">H24*$B$72</f>
        <v>0</v>
      </c>
      <c r="C83" s="93">
        <f t="shared" si="32"/>
        <v>0</v>
      </c>
      <c r="D83" s="93">
        <f t="shared" si="32"/>
        <v>0</v>
      </c>
      <c r="E83" s="93">
        <f t="shared" si="32"/>
        <v>0</v>
      </c>
      <c r="F83" s="93">
        <f t="shared" si="32"/>
        <v>0</v>
      </c>
      <c r="G83" s="93">
        <f t="shared" si="32"/>
        <v>0</v>
      </c>
      <c r="H83" s="93">
        <f t="shared" si="32"/>
        <v>0</v>
      </c>
    </row>
    <row r="84" spans="1:8" x14ac:dyDescent="0.2">
      <c r="A84" s="93" t="str">
        <f t="shared" si="27"/>
        <v>Tomato</v>
      </c>
      <c r="B84" s="93">
        <f t="shared" si="33"/>
        <v>0</v>
      </c>
      <c r="C84" s="93">
        <f t="shared" si="32"/>
        <v>0</v>
      </c>
      <c r="D84" s="93">
        <f t="shared" si="32"/>
        <v>0</v>
      </c>
      <c r="E84" s="93">
        <f t="shared" si="32"/>
        <v>0</v>
      </c>
      <c r="F84" s="93">
        <f t="shared" si="32"/>
        <v>0</v>
      </c>
      <c r="G84" s="93">
        <f t="shared" si="32"/>
        <v>0</v>
      </c>
      <c r="H84" s="93">
        <f t="shared" si="32"/>
        <v>0</v>
      </c>
    </row>
    <row r="85" spans="1:8" x14ac:dyDescent="0.2">
      <c r="A85" s="93" t="str">
        <f t="shared" si="27"/>
        <v>Okra</v>
      </c>
      <c r="B85" s="93">
        <f t="shared" si="33"/>
        <v>0</v>
      </c>
      <c r="C85" s="93">
        <f t="shared" si="32"/>
        <v>0</v>
      </c>
      <c r="D85" s="93">
        <f t="shared" si="32"/>
        <v>0</v>
      </c>
      <c r="E85" s="93">
        <f t="shared" si="32"/>
        <v>0</v>
      </c>
      <c r="F85" s="93">
        <f t="shared" si="32"/>
        <v>0</v>
      </c>
      <c r="G85" s="93">
        <f t="shared" si="32"/>
        <v>0</v>
      </c>
      <c r="H85" s="93">
        <f t="shared" si="32"/>
        <v>0</v>
      </c>
    </row>
    <row r="86" spans="1:8" x14ac:dyDescent="0.2">
      <c r="A86" s="93" t="str">
        <f t="shared" si="27"/>
        <v>Chilli</v>
      </c>
      <c r="B86" s="93">
        <f t="shared" si="33"/>
        <v>0</v>
      </c>
      <c r="C86" s="93">
        <f t="shared" si="32"/>
        <v>0</v>
      </c>
      <c r="D86" s="93">
        <f t="shared" si="32"/>
        <v>0</v>
      </c>
      <c r="E86" s="93">
        <f t="shared" si="32"/>
        <v>0</v>
      </c>
      <c r="F86" s="93">
        <f t="shared" si="32"/>
        <v>0</v>
      </c>
      <c r="G86" s="93">
        <f t="shared" si="32"/>
        <v>0</v>
      </c>
      <c r="H86" s="93">
        <f t="shared" si="32"/>
        <v>0</v>
      </c>
    </row>
    <row r="87" spans="1:8" x14ac:dyDescent="0.2">
      <c r="A87" s="93" t="str">
        <f t="shared" si="27"/>
        <v>Brinjal</v>
      </c>
      <c r="B87" s="93">
        <f t="shared" si="33"/>
        <v>0</v>
      </c>
      <c r="C87" s="93">
        <f t="shared" si="32"/>
        <v>0</v>
      </c>
      <c r="D87" s="93">
        <f t="shared" si="32"/>
        <v>0</v>
      </c>
      <c r="E87" s="93">
        <f t="shared" si="32"/>
        <v>0</v>
      </c>
      <c r="F87" s="93">
        <f t="shared" si="32"/>
        <v>0</v>
      </c>
      <c r="G87" s="93">
        <f t="shared" si="32"/>
        <v>0</v>
      </c>
      <c r="H87" s="93">
        <f t="shared" si="32"/>
        <v>0</v>
      </c>
    </row>
    <row r="88" spans="1:8" x14ac:dyDescent="0.2">
      <c r="A88" s="93">
        <f t="shared" si="27"/>
        <v>0</v>
      </c>
      <c r="B88" s="93">
        <f t="shared" si="33"/>
        <v>0</v>
      </c>
      <c r="C88" s="93">
        <f t="shared" si="32"/>
        <v>0</v>
      </c>
      <c r="D88" s="93">
        <f t="shared" si="32"/>
        <v>0</v>
      </c>
      <c r="E88" s="93">
        <f t="shared" si="32"/>
        <v>0</v>
      </c>
      <c r="F88" s="93">
        <f t="shared" si="32"/>
        <v>0</v>
      </c>
      <c r="G88" s="93">
        <f t="shared" si="32"/>
        <v>0</v>
      </c>
      <c r="H88" s="93">
        <f t="shared" si="32"/>
        <v>0</v>
      </c>
    </row>
    <row r="89" spans="1:8" x14ac:dyDescent="0.2">
      <c r="A89" s="93">
        <f t="shared" si="27"/>
        <v>0</v>
      </c>
      <c r="B89" s="93">
        <f t="shared" si="33"/>
        <v>0</v>
      </c>
      <c r="C89" s="93">
        <f t="shared" si="32"/>
        <v>0</v>
      </c>
      <c r="D89" s="93">
        <f t="shared" si="32"/>
        <v>0</v>
      </c>
      <c r="E89" s="93">
        <f t="shared" si="32"/>
        <v>0</v>
      </c>
      <c r="F89" s="93">
        <f t="shared" si="32"/>
        <v>0</v>
      </c>
      <c r="G89" s="93">
        <f t="shared" si="32"/>
        <v>0</v>
      </c>
      <c r="H89" s="93">
        <f t="shared" si="32"/>
        <v>0</v>
      </c>
    </row>
    <row r="90" spans="1:8" x14ac:dyDescent="0.2">
      <c r="A90" s="93">
        <f t="shared" si="27"/>
        <v>0</v>
      </c>
      <c r="B90" s="93">
        <f t="shared" si="33"/>
        <v>0</v>
      </c>
      <c r="C90" s="93">
        <f t="shared" si="32"/>
        <v>0</v>
      </c>
      <c r="D90" s="93">
        <f t="shared" si="32"/>
        <v>0</v>
      </c>
      <c r="E90" s="93">
        <f t="shared" si="32"/>
        <v>0</v>
      </c>
      <c r="F90" s="93">
        <f t="shared" si="32"/>
        <v>0</v>
      </c>
      <c r="G90" s="93">
        <f t="shared" si="32"/>
        <v>0</v>
      </c>
      <c r="H90" s="93">
        <f t="shared" si="32"/>
        <v>0</v>
      </c>
    </row>
    <row r="91" spans="1:8" x14ac:dyDescent="0.2">
      <c r="A91" s="93">
        <f t="shared" si="27"/>
        <v>0</v>
      </c>
      <c r="B91" s="93">
        <f t="shared" ref="B91:B98" si="34">H33*$B$72</f>
        <v>0</v>
      </c>
      <c r="C91" s="93">
        <f t="shared" si="32"/>
        <v>0</v>
      </c>
      <c r="D91" s="93">
        <f t="shared" ref="D91:D94" si="35">(C91/C$72)*D$72</f>
        <v>0</v>
      </c>
      <c r="E91" s="93">
        <f t="shared" ref="E91:E94" si="36">(D91/D$72)*E$72</f>
        <v>0</v>
      </c>
      <c r="F91" s="93">
        <f t="shared" ref="F91:F94" si="37">(E91/E$72)*F$72</f>
        <v>0</v>
      </c>
      <c r="G91" s="93">
        <f t="shared" ref="G91:G94" si="38">(F91/F$72)*G$72</f>
        <v>0</v>
      </c>
      <c r="H91" s="93">
        <f t="shared" si="32"/>
        <v>0</v>
      </c>
    </row>
    <row r="92" spans="1:8" x14ac:dyDescent="0.2">
      <c r="A92" s="93">
        <f t="shared" si="27"/>
        <v>0</v>
      </c>
      <c r="B92" s="93">
        <f t="shared" si="34"/>
        <v>0</v>
      </c>
      <c r="C92" s="93">
        <f t="shared" si="32"/>
        <v>0</v>
      </c>
      <c r="D92" s="93">
        <f t="shared" si="35"/>
        <v>0</v>
      </c>
      <c r="E92" s="93">
        <f t="shared" si="36"/>
        <v>0</v>
      </c>
      <c r="F92" s="93">
        <f t="shared" si="37"/>
        <v>0</v>
      </c>
      <c r="G92" s="93">
        <f t="shared" si="38"/>
        <v>0</v>
      </c>
      <c r="H92" s="93"/>
    </row>
    <row r="93" spans="1:8" x14ac:dyDescent="0.2">
      <c r="A93" s="93">
        <f t="shared" si="27"/>
        <v>0</v>
      </c>
      <c r="B93" s="93">
        <f t="shared" si="34"/>
        <v>0</v>
      </c>
      <c r="C93" s="93">
        <f t="shared" si="32"/>
        <v>0</v>
      </c>
      <c r="D93" s="93">
        <f t="shared" si="35"/>
        <v>0</v>
      </c>
      <c r="E93" s="93">
        <f t="shared" si="36"/>
        <v>0</v>
      </c>
      <c r="F93" s="93">
        <f t="shared" si="37"/>
        <v>0</v>
      </c>
      <c r="G93" s="93">
        <f t="shared" si="38"/>
        <v>0</v>
      </c>
      <c r="H93" s="93"/>
    </row>
    <row r="94" spans="1:8" x14ac:dyDescent="0.2">
      <c r="A94" s="93">
        <f t="shared" si="27"/>
        <v>0</v>
      </c>
      <c r="B94" s="93">
        <f t="shared" si="34"/>
        <v>0</v>
      </c>
      <c r="C94" s="93">
        <f t="shared" si="32"/>
        <v>0</v>
      </c>
      <c r="D94" s="93">
        <f t="shared" si="35"/>
        <v>0</v>
      </c>
      <c r="E94" s="93">
        <f t="shared" si="36"/>
        <v>0</v>
      </c>
      <c r="F94" s="93">
        <f t="shared" si="37"/>
        <v>0</v>
      </c>
      <c r="G94" s="93">
        <f t="shared" si="38"/>
        <v>0</v>
      </c>
      <c r="H94" s="93"/>
    </row>
    <row r="95" spans="1:8" x14ac:dyDescent="0.2">
      <c r="A95" s="93" t="str">
        <f t="shared" si="27"/>
        <v>Pomegranate</v>
      </c>
      <c r="B95" s="93">
        <f t="shared" si="34"/>
        <v>0</v>
      </c>
      <c r="C95" s="93">
        <f t="shared" si="32"/>
        <v>0</v>
      </c>
      <c r="D95" s="93">
        <f t="shared" si="32"/>
        <v>0</v>
      </c>
      <c r="E95" s="93">
        <f t="shared" si="32"/>
        <v>0</v>
      </c>
      <c r="F95" s="93">
        <f t="shared" si="32"/>
        <v>0</v>
      </c>
      <c r="G95" s="93">
        <f t="shared" si="32"/>
        <v>0</v>
      </c>
      <c r="H95" s="93">
        <f t="shared" si="32"/>
        <v>0</v>
      </c>
    </row>
    <row r="96" spans="1:8" x14ac:dyDescent="0.2">
      <c r="A96" s="93" t="str">
        <f t="shared" si="27"/>
        <v>Custard Apple</v>
      </c>
      <c r="B96" s="93">
        <f t="shared" si="34"/>
        <v>0</v>
      </c>
      <c r="C96" s="93">
        <f t="shared" ref="C96:H98" si="39">(B96/B$72)*C$72</f>
        <v>0</v>
      </c>
      <c r="D96" s="93">
        <f t="shared" si="39"/>
        <v>0</v>
      </c>
      <c r="E96" s="93">
        <f t="shared" si="39"/>
        <v>0</v>
      </c>
      <c r="F96" s="93">
        <f t="shared" si="39"/>
        <v>0</v>
      </c>
      <c r="G96" s="93">
        <f t="shared" si="39"/>
        <v>0</v>
      </c>
      <c r="H96" s="93">
        <f t="shared" si="39"/>
        <v>0</v>
      </c>
    </row>
    <row r="97" spans="1:8" x14ac:dyDescent="0.2">
      <c r="A97" s="93" t="str">
        <f t="shared" si="27"/>
        <v>Guava</v>
      </c>
      <c r="B97" s="93">
        <f t="shared" si="34"/>
        <v>0</v>
      </c>
      <c r="C97" s="93">
        <f t="shared" si="39"/>
        <v>0</v>
      </c>
      <c r="D97" s="93">
        <f t="shared" si="39"/>
        <v>0</v>
      </c>
      <c r="E97" s="93">
        <f t="shared" si="39"/>
        <v>0</v>
      </c>
      <c r="F97" s="93">
        <f t="shared" si="39"/>
        <v>0</v>
      </c>
      <c r="G97" s="93">
        <f t="shared" si="39"/>
        <v>0</v>
      </c>
      <c r="H97" s="93">
        <f t="shared" si="39"/>
        <v>0</v>
      </c>
    </row>
    <row r="98" spans="1:8" x14ac:dyDescent="0.2">
      <c r="A98" s="93" t="str">
        <f t="shared" si="27"/>
        <v>Citrus</v>
      </c>
      <c r="B98" s="93">
        <f t="shared" si="34"/>
        <v>0</v>
      </c>
      <c r="C98" s="93">
        <f t="shared" si="39"/>
        <v>0</v>
      </c>
      <c r="D98" s="93">
        <f t="shared" ref="D98" si="40">(C98/C$72)*D$72</f>
        <v>0</v>
      </c>
      <c r="E98" s="93">
        <f t="shared" ref="E98" si="41">(D98/D$72)*E$72</f>
        <v>0</v>
      </c>
      <c r="F98" s="93">
        <f t="shared" ref="F98" si="42">(E98/E$72)*F$72</f>
        <v>0</v>
      </c>
      <c r="G98" s="93">
        <f t="shared" ref="G98" si="43">(F98/F$72)*G$72</f>
        <v>0</v>
      </c>
      <c r="H98" s="93">
        <f t="shared" ref="H98" si="44">(G98/G$72)*H$72</f>
        <v>0</v>
      </c>
    </row>
    <row r="99" spans="1:8" ht="18.75" x14ac:dyDescent="0.25">
      <c r="A99" s="488" t="s">
        <v>572</v>
      </c>
      <c r="B99" s="489"/>
      <c r="C99" s="489"/>
      <c r="D99" s="489"/>
      <c r="E99" s="489"/>
      <c r="F99" s="489"/>
      <c r="G99" s="489"/>
      <c r="H99" s="490"/>
    </row>
    <row r="100" spans="1:8" x14ac:dyDescent="0.2">
      <c r="A100" s="477" t="s">
        <v>0</v>
      </c>
      <c r="B100" s="380">
        <v>0.65</v>
      </c>
      <c r="C100" s="381">
        <f>B100+0.05</f>
        <v>0.70000000000000007</v>
      </c>
      <c r="D100" s="381">
        <f t="shared" ref="D100:G100" si="45">C100+0.05</f>
        <v>0.75000000000000011</v>
      </c>
      <c r="E100" s="381">
        <f t="shared" si="45"/>
        <v>0.80000000000000016</v>
      </c>
      <c r="F100" s="381">
        <f t="shared" si="45"/>
        <v>0.8500000000000002</v>
      </c>
      <c r="G100" s="381">
        <f t="shared" si="45"/>
        <v>0.90000000000000024</v>
      </c>
      <c r="H100" s="381">
        <f>G100+0.05</f>
        <v>0.95000000000000029</v>
      </c>
    </row>
    <row r="101" spans="1:8" x14ac:dyDescent="0.2">
      <c r="A101" s="478"/>
      <c r="B101" s="139" t="s">
        <v>2</v>
      </c>
      <c r="C101" s="139" t="s">
        <v>3</v>
      </c>
      <c r="D101" s="139" t="s">
        <v>4</v>
      </c>
      <c r="E101" s="139" t="s">
        <v>5</v>
      </c>
      <c r="F101" s="139" t="s">
        <v>6</v>
      </c>
      <c r="G101" s="139" t="s">
        <v>168</v>
      </c>
      <c r="H101" s="139" t="s">
        <v>167</v>
      </c>
    </row>
    <row r="102" spans="1:8" x14ac:dyDescent="0.2">
      <c r="A102" s="93" t="str">
        <f t="shared" ref="A102:A126" si="46">A74</f>
        <v>Onion</v>
      </c>
      <c r="B102" s="93">
        <f t="shared" ref="B102:B110" si="47">D14*$B$100</f>
        <v>0</v>
      </c>
      <c r="C102" s="93">
        <f t="shared" ref="C102:H117" si="48">(B102/B$100)*C$100</f>
        <v>0</v>
      </c>
      <c r="D102" s="93">
        <f t="shared" si="48"/>
        <v>0</v>
      </c>
      <c r="E102" s="93">
        <f t="shared" si="48"/>
        <v>0</v>
      </c>
      <c r="F102" s="93">
        <f t="shared" si="48"/>
        <v>0</v>
      </c>
      <c r="G102" s="93">
        <f t="shared" si="48"/>
        <v>0</v>
      </c>
      <c r="H102" s="93">
        <f t="shared" si="48"/>
        <v>0</v>
      </c>
    </row>
    <row r="103" spans="1:8" x14ac:dyDescent="0.2">
      <c r="A103" s="93" t="str">
        <f t="shared" si="46"/>
        <v>Tomato</v>
      </c>
      <c r="B103" s="93">
        <f t="shared" si="47"/>
        <v>0</v>
      </c>
      <c r="C103" s="93">
        <f t="shared" si="48"/>
        <v>0</v>
      </c>
      <c r="D103" s="93">
        <f>(C103/C100)*D100</f>
        <v>0</v>
      </c>
      <c r="E103" s="93">
        <f t="shared" ref="E103:G103" si="49">(D103/D100)*E100</f>
        <v>0</v>
      </c>
      <c r="F103" s="93">
        <f t="shared" si="49"/>
        <v>0</v>
      </c>
      <c r="G103" s="93">
        <f t="shared" si="49"/>
        <v>0</v>
      </c>
      <c r="H103" s="93">
        <f>(G103/G100)*H100</f>
        <v>0</v>
      </c>
    </row>
    <row r="104" spans="1:8" x14ac:dyDescent="0.2">
      <c r="A104" s="93" t="str">
        <f t="shared" si="46"/>
        <v>Okra</v>
      </c>
      <c r="B104" s="93">
        <f t="shared" si="47"/>
        <v>0</v>
      </c>
      <c r="C104" s="93">
        <f t="shared" si="48"/>
        <v>0</v>
      </c>
      <c r="D104" s="93">
        <f t="shared" si="48"/>
        <v>0</v>
      </c>
      <c r="E104" s="93">
        <f t="shared" si="48"/>
        <v>0</v>
      </c>
      <c r="F104" s="93">
        <f t="shared" si="48"/>
        <v>0</v>
      </c>
      <c r="G104" s="93">
        <f t="shared" si="48"/>
        <v>0</v>
      </c>
      <c r="H104" s="93">
        <f t="shared" si="48"/>
        <v>0</v>
      </c>
    </row>
    <row r="105" spans="1:8" x14ac:dyDescent="0.2">
      <c r="A105" s="93" t="str">
        <f t="shared" si="46"/>
        <v>Chilli</v>
      </c>
      <c r="B105" s="93">
        <f t="shared" si="47"/>
        <v>0</v>
      </c>
      <c r="C105" s="93">
        <f t="shared" si="48"/>
        <v>0</v>
      </c>
      <c r="D105" s="93">
        <f t="shared" si="48"/>
        <v>0</v>
      </c>
      <c r="E105" s="93">
        <f t="shared" si="48"/>
        <v>0</v>
      </c>
      <c r="F105" s="93">
        <f t="shared" si="48"/>
        <v>0</v>
      </c>
      <c r="G105" s="93">
        <f t="shared" si="48"/>
        <v>0</v>
      </c>
      <c r="H105" s="93">
        <f t="shared" si="48"/>
        <v>0</v>
      </c>
    </row>
    <row r="106" spans="1:8" x14ac:dyDescent="0.2">
      <c r="A106" s="93" t="str">
        <f t="shared" si="46"/>
        <v>Potato</v>
      </c>
      <c r="B106" s="93">
        <f t="shared" si="47"/>
        <v>0</v>
      </c>
      <c r="C106" s="93">
        <f t="shared" si="48"/>
        <v>0</v>
      </c>
      <c r="D106" s="93">
        <f t="shared" si="48"/>
        <v>0</v>
      </c>
      <c r="E106" s="93">
        <f t="shared" si="48"/>
        <v>0</v>
      </c>
      <c r="F106" s="93">
        <f t="shared" si="48"/>
        <v>0</v>
      </c>
      <c r="G106" s="93">
        <f t="shared" si="48"/>
        <v>0</v>
      </c>
      <c r="H106" s="93">
        <f t="shared" si="48"/>
        <v>0</v>
      </c>
    </row>
    <row r="107" spans="1:8" x14ac:dyDescent="0.2">
      <c r="A107" s="93">
        <f t="shared" si="46"/>
        <v>0</v>
      </c>
      <c r="B107" s="93">
        <f t="shared" si="47"/>
        <v>0</v>
      </c>
      <c r="C107" s="93">
        <f t="shared" si="48"/>
        <v>0</v>
      </c>
      <c r="D107" s="93">
        <f t="shared" si="48"/>
        <v>0</v>
      </c>
      <c r="E107" s="93">
        <f t="shared" si="48"/>
        <v>0</v>
      </c>
      <c r="F107" s="93">
        <f t="shared" si="48"/>
        <v>0</v>
      </c>
      <c r="G107" s="93">
        <f t="shared" si="48"/>
        <v>0</v>
      </c>
      <c r="H107" s="93">
        <f t="shared" si="48"/>
        <v>0</v>
      </c>
    </row>
    <row r="108" spans="1:8" x14ac:dyDescent="0.2">
      <c r="A108" s="93">
        <f t="shared" si="46"/>
        <v>0</v>
      </c>
      <c r="B108" s="93">
        <f t="shared" si="47"/>
        <v>0</v>
      </c>
      <c r="C108" s="93">
        <f t="shared" si="48"/>
        <v>0</v>
      </c>
      <c r="D108" s="93">
        <f t="shared" si="48"/>
        <v>0</v>
      </c>
      <c r="E108" s="93">
        <f t="shared" si="48"/>
        <v>0</v>
      </c>
      <c r="F108" s="93">
        <f t="shared" si="48"/>
        <v>0</v>
      </c>
      <c r="G108" s="93">
        <f t="shared" si="48"/>
        <v>0</v>
      </c>
      <c r="H108" s="93">
        <f t="shared" si="48"/>
        <v>0</v>
      </c>
    </row>
    <row r="109" spans="1:8" x14ac:dyDescent="0.2">
      <c r="A109" s="93">
        <f t="shared" si="46"/>
        <v>0</v>
      </c>
      <c r="B109" s="93">
        <f t="shared" si="47"/>
        <v>0</v>
      </c>
      <c r="C109" s="93">
        <f t="shared" si="48"/>
        <v>0</v>
      </c>
      <c r="D109" s="93">
        <f t="shared" si="48"/>
        <v>0</v>
      </c>
      <c r="E109" s="93">
        <f t="shared" si="48"/>
        <v>0</v>
      </c>
      <c r="F109" s="93">
        <f t="shared" si="48"/>
        <v>0</v>
      </c>
      <c r="G109" s="93">
        <f t="shared" si="48"/>
        <v>0</v>
      </c>
      <c r="H109" s="93">
        <f t="shared" si="48"/>
        <v>0</v>
      </c>
    </row>
    <row r="110" spans="1:8" x14ac:dyDescent="0.2">
      <c r="A110" s="93">
        <f t="shared" si="46"/>
        <v>0</v>
      </c>
      <c r="B110" s="93">
        <f t="shared" si="47"/>
        <v>0</v>
      </c>
      <c r="C110" s="93">
        <f t="shared" si="48"/>
        <v>0</v>
      </c>
      <c r="D110" s="93">
        <f t="shared" si="48"/>
        <v>0</v>
      </c>
      <c r="E110" s="93">
        <f t="shared" si="48"/>
        <v>0</v>
      </c>
      <c r="F110" s="93">
        <f t="shared" si="48"/>
        <v>0</v>
      </c>
      <c r="G110" s="93">
        <f t="shared" si="48"/>
        <v>0</v>
      </c>
      <c r="H110" s="93">
        <f t="shared" si="48"/>
        <v>0</v>
      </c>
    </row>
    <row r="111" spans="1:8" x14ac:dyDescent="0.2">
      <c r="A111" s="93" t="str">
        <f t="shared" si="46"/>
        <v>Onion</v>
      </c>
      <c r="B111" s="93">
        <f t="shared" ref="B111:B118" si="50">D24*$B$100</f>
        <v>0</v>
      </c>
      <c r="C111" s="93">
        <f t="shared" si="48"/>
        <v>0</v>
      </c>
      <c r="D111" s="93">
        <f t="shared" si="48"/>
        <v>0</v>
      </c>
      <c r="E111" s="93">
        <f t="shared" si="48"/>
        <v>0</v>
      </c>
      <c r="F111" s="93">
        <f t="shared" si="48"/>
        <v>0</v>
      </c>
      <c r="G111" s="93">
        <f t="shared" si="48"/>
        <v>0</v>
      </c>
      <c r="H111" s="93">
        <f t="shared" si="48"/>
        <v>0</v>
      </c>
    </row>
    <row r="112" spans="1:8" x14ac:dyDescent="0.2">
      <c r="A112" s="93" t="str">
        <f t="shared" si="46"/>
        <v>Tomato</v>
      </c>
      <c r="B112" s="93">
        <f t="shared" si="50"/>
        <v>0</v>
      </c>
      <c r="C112" s="93">
        <f t="shared" si="48"/>
        <v>0</v>
      </c>
      <c r="D112" s="93">
        <f t="shared" si="48"/>
        <v>0</v>
      </c>
      <c r="E112" s="93">
        <f t="shared" si="48"/>
        <v>0</v>
      </c>
      <c r="F112" s="93">
        <f t="shared" si="48"/>
        <v>0</v>
      </c>
      <c r="G112" s="93">
        <f t="shared" si="48"/>
        <v>0</v>
      </c>
      <c r="H112" s="93">
        <f t="shared" si="48"/>
        <v>0</v>
      </c>
    </row>
    <row r="113" spans="1:9" x14ac:dyDescent="0.2">
      <c r="A113" s="93" t="str">
        <f t="shared" si="46"/>
        <v>Okra</v>
      </c>
      <c r="B113" s="93">
        <f t="shared" si="50"/>
        <v>0</v>
      </c>
      <c r="C113" s="93">
        <f t="shared" si="48"/>
        <v>0</v>
      </c>
      <c r="D113" s="93">
        <f t="shared" si="48"/>
        <v>0</v>
      </c>
      <c r="E113" s="93">
        <f t="shared" si="48"/>
        <v>0</v>
      </c>
      <c r="F113" s="93">
        <f t="shared" si="48"/>
        <v>0</v>
      </c>
      <c r="G113" s="93">
        <f t="shared" si="48"/>
        <v>0</v>
      </c>
      <c r="H113" s="93">
        <f t="shared" si="48"/>
        <v>0</v>
      </c>
    </row>
    <row r="114" spans="1:9" x14ac:dyDescent="0.2">
      <c r="A114" s="93" t="str">
        <f t="shared" si="46"/>
        <v>Chilli</v>
      </c>
      <c r="B114" s="93">
        <f t="shared" si="50"/>
        <v>0</v>
      </c>
      <c r="C114" s="93">
        <f t="shared" si="48"/>
        <v>0</v>
      </c>
      <c r="D114" s="93">
        <f t="shared" si="48"/>
        <v>0</v>
      </c>
      <c r="E114" s="93">
        <f t="shared" si="48"/>
        <v>0</v>
      </c>
      <c r="F114" s="93">
        <f t="shared" si="48"/>
        <v>0</v>
      </c>
      <c r="G114" s="93">
        <f t="shared" si="48"/>
        <v>0</v>
      </c>
      <c r="H114" s="93">
        <f t="shared" si="48"/>
        <v>0</v>
      </c>
    </row>
    <row r="115" spans="1:9" x14ac:dyDescent="0.2">
      <c r="A115" s="93" t="str">
        <f t="shared" si="46"/>
        <v>Brinjal</v>
      </c>
      <c r="B115" s="93">
        <f t="shared" si="50"/>
        <v>0</v>
      </c>
      <c r="C115" s="93">
        <f t="shared" si="48"/>
        <v>0</v>
      </c>
      <c r="D115" s="93">
        <f t="shared" si="48"/>
        <v>0</v>
      </c>
      <c r="E115" s="93">
        <f t="shared" si="48"/>
        <v>0</v>
      </c>
      <c r="F115" s="93">
        <f t="shared" si="48"/>
        <v>0</v>
      </c>
      <c r="G115" s="93">
        <f t="shared" si="48"/>
        <v>0</v>
      </c>
      <c r="H115" s="93">
        <f t="shared" si="48"/>
        <v>0</v>
      </c>
    </row>
    <row r="116" spans="1:9" x14ac:dyDescent="0.2">
      <c r="A116" s="93">
        <f t="shared" si="46"/>
        <v>0</v>
      </c>
      <c r="B116" s="93">
        <f t="shared" si="50"/>
        <v>0</v>
      </c>
      <c r="C116" s="93">
        <f t="shared" si="48"/>
        <v>0</v>
      </c>
      <c r="D116" s="93">
        <f t="shared" si="48"/>
        <v>0</v>
      </c>
      <c r="E116" s="93">
        <f t="shared" si="48"/>
        <v>0</v>
      </c>
      <c r="F116" s="93">
        <f t="shared" si="48"/>
        <v>0</v>
      </c>
      <c r="G116" s="93">
        <f t="shared" si="48"/>
        <v>0</v>
      </c>
      <c r="H116" s="93">
        <f t="shared" si="48"/>
        <v>0</v>
      </c>
    </row>
    <row r="117" spans="1:9" x14ac:dyDescent="0.2">
      <c r="A117" s="93">
        <f t="shared" si="46"/>
        <v>0</v>
      </c>
      <c r="B117" s="93">
        <f t="shared" si="50"/>
        <v>0</v>
      </c>
      <c r="C117" s="93">
        <f t="shared" si="48"/>
        <v>0</v>
      </c>
      <c r="D117" s="93">
        <f t="shared" si="48"/>
        <v>0</v>
      </c>
      <c r="E117" s="93">
        <f t="shared" si="48"/>
        <v>0</v>
      </c>
      <c r="F117" s="93">
        <f t="shared" si="48"/>
        <v>0</v>
      </c>
      <c r="G117" s="93">
        <f t="shared" si="48"/>
        <v>0</v>
      </c>
      <c r="H117" s="93">
        <f t="shared" si="48"/>
        <v>0</v>
      </c>
    </row>
    <row r="118" spans="1:9" x14ac:dyDescent="0.2">
      <c r="A118" s="93">
        <f t="shared" si="46"/>
        <v>0</v>
      </c>
      <c r="B118" s="93">
        <f t="shared" si="50"/>
        <v>0</v>
      </c>
      <c r="C118" s="93">
        <f t="shared" ref="C118:H126" si="51">(B118/B$100)*C$100</f>
        <v>0</v>
      </c>
      <c r="D118" s="93">
        <f t="shared" si="51"/>
        <v>0</v>
      </c>
      <c r="E118" s="93">
        <f t="shared" si="51"/>
        <v>0</v>
      </c>
      <c r="F118" s="93">
        <f t="shared" si="51"/>
        <v>0</v>
      </c>
      <c r="G118" s="93">
        <f t="shared" si="51"/>
        <v>0</v>
      </c>
      <c r="H118" s="93">
        <f t="shared" si="51"/>
        <v>0</v>
      </c>
    </row>
    <row r="119" spans="1:9" x14ac:dyDescent="0.2">
      <c r="A119" s="93">
        <f t="shared" si="46"/>
        <v>0</v>
      </c>
      <c r="B119" s="93">
        <f t="shared" ref="B119:B126" si="52">D33*$B$100</f>
        <v>0</v>
      </c>
      <c r="C119" s="93">
        <f t="shared" si="51"/>
        <v>0</v>
      </c>
      <c r="D119" s="93">
        <f t="shared" si="51"/>
        <v>0</v>
      </c>
      <c r="E119" s="93">
        <f t="shared" si="51"/>
        <v>0</v>
      </c>
      <c r="F119" s="93">
        <f t="shared" si="51"/>
        <v>0</v>
      </c>
      <c r="G119" s="93">
        <f t="shared" si="51"/>
        <v>0</v>
      </c>
      <c r="H119" s="93">
        <f t="shared" si="51"/>
        <v>0</v>
      </c>
    </row>
    <row r="120" spans="1:9" x14ac:dyDescent="0.2">
      <c r="A120" s="93">
        <f t="shared" si="46"/>
        <v>0</v>
      </c>
      <c r="B120" s="93">
        <f t="shared" si="52"/>
        <v>0</v>
      </c>
      <c r="C120" s="93">
        <f t="shared" si="51"/>
        <v>0</v>
      </c>
      <c r="D120" s="93">
        <f t="shared" ref="D120:D122" si="53">(C120/C$100)*D$100</f>
        <v>0</v>
      </c>
      <c r="E120" s="93">
        <f t="shared" ref="E120:E122" si="54">(D120/D$100)*E$100</f>
        <v>0</v>
      </c>
      <c r="F120" s="93">
        <f t="shared" ref="F120:F122" si="55">(E120/E$100)*F$100</f>
        <v>0</v>
      </c>
      <c r="G120" s="93">
        <f t="shared" ref="G120:G122" si="56">(F120/F$100)*G$100</f>
        <v>0</v>
      </c>
      <c r="H120" s="93">
        <f t="shared" si="51"/>
        <v>0</v>
      </c>
    </row>
    <row r="121" spans="1:9" x14ac:dyDescent="0.2">
      <c r="A121" s="93">
        <f t="shared" si="46"/>
        <v>0</v>
      </c>
      <c r="B121" s="93">
        <f t="shared" si="52"/>
        <v>0</v>
      </c>
      <c r="C121" s="93">
        <f t="shared" si="51"/>
        <v>0</v>
      </c>
      <c r="D121" s="93">
        <f t="shared" si="53"/>
        <v>0</v>
      </c>
      <c r="E121" s="93">
        <f t="shared" si="54"/>
        <v>0</v>
      </c>
      <c r="F121" s="93">
        <f t="shared" si="55"/>
        <v>0</v>
      </c>
      <c r="G121" s="93">
        <f t="shared" si="56"/>
        <v>0</v>
      </c>
      <c r="H121" s="93">
        <f t="shared" si="51"/>
        <v>0</v>
      </c>
    </row>
    <row r="122" spans="1:9" x14ac:dyDescent="0.2">
      <c r="A122" s="93">
        <f t="shared" si="46"/>
        <v>0</v>
      </c>
      <c r="B122" s="93">
        <f t="shared" si="52"/>
        <v>0</v>
      </c>
      <c r="C122" s="93">
        <f t="shared" si="51"/>
        <v>0</v>
      </c>
      <c r="D122" s="93">
        <f t="shared" si="53"/>
        <v>0</v>
      </c>
      <c r="E122" s="93">
        <f t="shared" si="54"/>
        <v>0</v>
      </c>
      <c r="F122" s="93">
        <f t="shared" si="55"/>
        <v>0</v>
      </c>
      <c r="G122" s="93">
        <f t="shared" si="56"/>
        <v>0</v>
      </c>
      <c r="H122" s="93">
        <f t="shared" si="51"/>
        <v>0</v>
      </c>
    </row>
    <row r="123" spans="1:9" x14ac:dyDescent="0.2">
      <c r="A123" s="93" t="str">
        <f t="shared" si="46"/>
        <v>Pomegranate</v>
      </c>
      <c r="B123" s="93">
        <f t="shared" si="52"/>
        <v>0</v>
      </c>
      <c r="C123" s="93">
        <f t="shared" si="51"/>
        <v>0</v>
      </c>
      <c r="D123" s="93">
        <f t="shared" si="51"/>
        <v>0</v>
      </c>
      <c r="E123" s="93">
        <f t="shared" si="51"/>
        <v>0</v>
      </c>
      <c r="F123" s="93">
        <f t="shared" si="51"/>
        <v>0</v>
      </c>
      <c r="G123" s="93">
        <f t="shared" si="51"/>
        <v>0</v>
      </c>
      <c r="H123" s="93">
        <f t="shared" si="51"/>
        <v>0</v>
      </c>
    </row>
    <row r="124" spans="1:9" x14ac:dyDescent="0.2">
      <c r="A124" s="93" t="str">
        <f t="shared" si="46"/>
        <v>Custard Apple</v>
      </c>
      <c r="B124" s="93">
        <f t="shared" si="52"/>
        <v>0</v>
      </c>
      <c r="C124" s="93">
        <f t="shared" si="51"/>
        <v>0</v>
      </c>
      <c r="D124" s="93">
        <f t="shared" ref="D124" si="57">(C124/C$100)*D$100</f>
        <v>0</v>
      </c>
      <c r="E124" s="93">
        <f t="shared" ref="E124" si="58">(D124/D$100)*E$100</f>
        <v>0</v>
      </c>
      <c r="F124" s="93">
        <f t="shared" ref="F124" si="59">(E124/E$100)*F$100</f>
        <v>0</v>
      </c>
      <c r="G124" s="93">
        <f t="shared" ref="G124" si="60">(F124/F$100)*G$100</f>
        <v>0</v>
      </c>
      <c r="H124" s="93">
        <f t="shared" si="51"/>
        <v>0</v>
      </c>
    </row>
    <row r="125" spans="1:9" x14ac:dyDescent="0.2">
      <c r="A125" s="93" t="str">
        <f t="shared" si="46"/>
        <v>Guava</v>
      </c>
      <c r="B125" s="93">
        <f t="shared" si="52"/>
        <v>0</v>
      </c>
      <c r="C125" s="93">
        <f t="shared" si="51"/>
        <v>0</v>
      </c>
      <c r="D125" s="93">
        <f t="shared" si="51"/>
        <v>0</v>
      </c>
      <c r="E125" s="93">
        <f t="shared" si="51"/>
        <v>0</v>
      </c>
      <c r="F125" s="93">
        <f t="shared" si="51"/>
        <v>0</v>
      </c>
      <c r="G125" s="93">
        <f t="shared" si="51"/>
        <v>0</v>
      </c>
      <c r="H125" s="93">
        <f t="shared" si="51"/>
        <v>0</v>
      </c>
    </row>
    <row r="126" spans="1:9" x14ac:dyDescent="0.2">
      <c r="A126" s="93" t="str">
        <f t="shared" si="46"/>
        <v>Citrus</v>
      </c>
      <c r="B126" s="93">
        <f t="shared" si="52"/>
        <v>0</v>
      </c>
      <c r="C126" s="93">
        <f t="shared" si="51"/>
        <v>0</v>
      </c>
      <c r="D126" s="93">
        <f t="shared" si="51"/>
        <v>0</v>
      </c>
      <c r="E126" s="93">
        <f t="shared" si="51"/>
        <v>0</v>
      </c>
      <c r="F126" s="93">
        <f t="shared" si="51"/>
        <v>0</v>
      </c>
      <c r="G126" s="93">
        <f t="shared" si="51"/>
        <v>0</v>
      </c>
      <c r="H126" s="93">
        <f t="shared" si="51"/>
        <v>0</v>
      </c>
    </row>
    <row r="128" spans="1:9" x14ac:dyDescent="0.2">
      <c r="C128" s="138"/>
      <c r="D128" s="150"/>
      <c r="E128" s="150"/>
      <c r="F128" s="150"/>
      <c r="G128" s="150"/>
      <c r="H128" s="150"/>
      <c r="I128" s="150"/>
    </row>
    <row r="129" spans="1:9" x14ac:dyDescent="0.2">
      <c r="A129" s="92" t="s">
        <v>536</v>
      </c>
      <c r="C129" s="134"/>
      <c r="D129" s="134"/>
      <c r="E129" s="134"/>
      <c r="F129" s="134"/>
      <c r="G129" s="134"/>
      <c r="H129" s="134"/>
      <c r="I129" s="134"/>
    </row>
    <row r="130" spans="1:9" x14ac:dyDescent="0.2">
      <c r="A130" s="92">
        <v>1</v>
      </c>
      <c r="B130" s="92" t="s">
        <v>537</v>
      </c>
    </row>
    <row r="131" spans="1:9" x14ac:dyDescent="0.2">
      <c r="A131" s="92">
        <v>2</v>
      </c>
      <c r="B131" s="92" t="s">
        <v>538</v>
      </c>
    </row>
    <row r="132" spans="1:9" x14ac:dyDescent="0.2">
      <c r="A132" s="92">
        <v>3</v>
      </c>
      <c r="B132" s="92" t="s">
        <v>539</v>
      </c>
    </row>
  </sheetData>
  <mergeCells count="13">
    <mergeCell ref="A1:H1"/>
    <mergeCell ref="A43:H43"/>
    <mergeCell ref="A44:A45"/>
    <mergeCell ref="A71:H71"/>
    <mergeCell ref="A72:A73"/>
    <mergeCell ref="A99:H99"/>
    <mergeCell ref="A100:A101"/>
    <mergeCell ref="A3:B3"/>
    <mergeCell ref="A11:H11"/>
    <mergeCell ref="A14:A22"/>
    <mergeCell ref="A24:A31"/>
    <mergeCell ref="A37:A40"/>
    <mergeCell ref="A41:H41"/>
  </mergeCells>
  <pageMargins left="0.7" right="0.7" top="0.75" bottom="0.75" header="0.3" footer="0.3"/>
  <pageSetup scale="9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S233"/>
  <sheetViews>
    <sheetView view="pageBreakPreview" topLeftCell="A203" zoomScale="80" zoomScaleSheetLayoutView="80" workbookViewId="0">
      <selection activeCell="D227" sqref="D227"/>
    </sheetView>
  </sheetViews>
  <sheetFormatPr defaultColWidth="8.7421875" defaultRowHeight="15" x14ac:dyDescent="0.2"/>
  <cols>
    <col min="1" max="1" width="42.5078125" style="92" bestFit="1" customWidth="1"/>
    <col min="2" max="2" width="23.40625" style="92" customWidth="1"/>
    <col min="3" max="3" width="11.8359375" style="92" customWidth="1"/>
    <col min="4" max="5" width="15.87109375" style="92" bestFit="1" customWidth="1"/>
    <col min="6" max="6" width="18.16015625" style="92" bestFit="1" customWidth="1"/>
    <col min="7" max="10" width="15.87109375" style="92" bestFit="1" customWidth="1"/>
    <col min="11" max="12" width="12.23828125" style="92" bestFit="1" customWidth="1"/>
    <col min="13" max="13" width="22.8671875" style="92" bestFit="1" customWidth="1"/>
    <col min="14" max="14" width="12.77734375" style="92" bestFit="1" customWidth="1"/>
    <col min="15" max="18" width="12.23828125" style="92" bestFit="1" customWidth="1"/>
    <col min="19" max="16384" width="8.7421875" style="92"/>
  </cols>
  <sheetData>
    <row r="1" spans="1:8" hidden="1" x14ac:dyDescent="0.2"/>
    <row r="2" spans="1:8" hidden="1" x14ac:dyDescent="0.2">
      <c r="A2" s="429" t="s">
        <v>573</v>
      </c>
      <c r="B2" s="429"/>
      <c r="C2" s="429"/>
      <c r="D2" s="429"/>
      <c r="E2" s="429"/>
      <c r="F2" s="429"/>
      <c r="G2" s="429"/>
      <c r="H2" s="429"/>
    </row>
    <row r="3" spans="1:8" hidden="1" x14ac:dyDescent="0.2">
      <c r="A3" s="429" t="s">
        <v>574</v>
      </c>
      <c r="B3" s="429"/>
      <c r="C3" s="429"/>
      <c r="D3" s="429"/>
      <c r="E3" s="429"/>
      <c r="F3" s="429"/>
      <c r="G3" s="429"/>
      <c r="H3" s="429"/>
    </row>
    <row r="4" spans="1:8" hidden="1" x14ac:dyDescent="0.2">
      <c r="F4" s="429" t="s">
        <v>462</v>
      </c>
      <c r="G4" s="429"/>
      <c r="H4" s="429"/>
    </row>
    <row r="5" spans="1:8" hidden="1" x14ac:dyDescent="0.2">
      <c r="A5" s="92" t="s">
        <v>160</v>
      </c>
      <c r="B5" s="122">
        <f>(2*1000)/100</f>
        <v>20</v>
      </c>
      <c r="C5" s="92" t="s">
        <v>440</v>
      </c>
      <c r="F5" s="123" t="s">
        <v>463</v>
      </c>
      <c r="G5" s="123" t="s">
        <v>464</v>
      </c>
    </row>
    <row r="6" spans="1:8" hidden="1" x14ac:dyDescent="0.2">
      <c r="A6" s="92" t="s">
        <v>161</v>
      </c>
      <c r="B6" s="124">
        <v>8</v>
      </c>
      <c r="F6" s="93" t="s">
        <v>460</v>
      </c>
      <c r="G6" s="125">
        <v>0.03</v>
      </c>
    </row>
    <row r="7" spans="1:8" hidden="1" x14ac:dyDescent="0.2">
      <c r="F7" s="93" t="s">
        <v>461</v>
      </c>
      <c r="G7" s="125">
        <v>0.05</v>
      </c>
    </row>
    <row r="8" spans="1:8" hidden="1" x14ac:dyDescent="0.2">
      <c r="A8" s="92" t="s">
        <v>510</v>
      </c>
      <c r="B8" s="92">
        <v>0</v>
      </c>
      <c r="F8" s="93"/>
      <c r="G8" s="125"/>
    </row>
    <row r="9" spans="1:8" hidden="1" x14ac:dyDescent="0.2">
      <c r="A9" s="126" t="s">
        <v>0</v>
      </c>
      <c r="B9" s="127" t="s">
        <v>2</v>
      </c>
      <c r="C9" s="127" t="s">
        <v>3</v>
      </c>
      <c r="D9" s="127" t="s">
        <v>4</v>
      </c>
      <c r="E9" s="127" t="s">
        <v>5</v>
      </c>
      <c r="F9" s="127" t="s">
        <v>6</v>
      </c>
      <c r="G9" s="127" t="s">
        <v>168</v>
      </c>
      <c r="H9" s="127" t="s">
        <v>167</v>
      </c>
    </row>
    <row r="10" spans="1:8" hidden="1" x14ac:dyDescent="0.2">
      <c r="A10" s="93" t="s">
        <v>439</v>
      </c>
      <c r="B10" s="128">
        <f>B33/($B$5*$B$6)</f>
        <v>0</v>
      </c>
      <c r="C10" s="128">
        <f t="shared" ref="C10:H10" si="0">C33/($B$5*$B$6)</f>
        <v>0</v>
      </c>
      <c r="D10" s="128">
        <f t="shared" si="0"/>
        <v>0</v>
      </c>
      <c r="E10" s="128">
        <f t="shared" si="0"/>
        <v>0</v>
      </c>
      <c r="F10" s="128">
        <f t="shared" si="0"/>
        <v>0</v>
      </c>
      <c r="G10" s="128">
        <f t="shared" si="0"/>
        <v>0</v>
      </c>
      <c r="H10" s="128">
        <f t="shared" si="0"/>
        <v>0</v>
      </c>
    </row>
    <row r="11" spans="1:8" hidden="1" x14ac:dyDescent="0.2">
      <c r="A11" s="129" t="str">
        <f>'10.Grain Production details'!A42</f>
        <v>Soybean</v>
      </c>
      <c r="B11" s="129">
        <f>'10.Grain Production details'!B42</f>
        <v>0</v>
      </c>
      <c r="C11" s="129">
        <f>'10.Grain Production details'!C42</f>
        <v>0</v>
      </c>
      <c r="D11" s="129">
        <f>'10.Grain Production details'!D42</f>
        <v>0</v>
      </c>
      <c r="E11" s="129">
        <f>'10.Grain Production details'!E42</f>
        <v>0</v>
      </c>
      <c r="F11" s="129">
        <f>'10.Grain Production details'!F42</f>
        <v>0</v>
      </c>
      <c r="G11" s="129">
        <f>'10.Grain Production details'!G42</f>
        <v>0</v>
      </c>
      <c r="H11" s="129">
        <f>'10.Grain Production details'!H42</f>
        <v>0</v>
      </c>
    </row>
    <row r="12" spans="1:8" hidden="1" x14ac:dyDescent="0.2">
      <c r="A12" s="129" t="str">
        <f>'10.Grain Production details'!A43</f>
        <v>Red Gram/Tur</v>
      </c>
      <c r="B12" s="129">
        <f>'10.Grain Production details'!B43</f>
        <v>0</v>
      </c>
      <c r="C12" s="129">
        <f>'10.Grain Production details'!C43</f>
        <v>0</v>
      </c>
      <c r="D12" s="129">
        <f>'10.Grain Production details'!D43</f>
        <v>0</v>
      </c>
      <c r="E12" s="129">
        <f>'10.Grain Production details'!E43</f>
        <v>0</v>
      </c>
      <c r="F12" s="129">
        <f>'10.Grain Production details'!F43</f>
        <v>0</v>
      </c>
      <c r="G12" s="129">
        <f>'10.Grain Production details'!G43</f>
        <v>0</v>
      </c>
      <c r="H12" s="129">
        <f>'10.Grain Production details'!H43</f>
        <v>0</v>
      </c>
    </row>
    <row r="13" spans="1:8" hidden="1" x14ac:dyDescent="0.2">
      <c r="A13" s="129" t="str">
        <f>'10.Grain Production details'!A44</f>
        <v>Paddy/Rice</v>
      </c>
      <c r="B13" s="129">
        <f>'10.Grain Production details'!B44</f>
        <v>0</v>
      </c>
      <c r="C13" s="129">
        <f>'10.Grain Production details'!C44</f>
        <v>0</v>
      </c>
      <c r="D13" s="129">
        <f>'10.Grain Production details'!D44</f>
        <v>0</v>
      </c>
      <c r="E13" s="129">
        <f>'10.Grain Production details'!E44</f>
        <v>0</v>
      </c>
      <c r="F13" s="129">
        <f>'10.Grain Production details'!F44</f>
        <v>0</v>
      </c>
      <c r="G13" s="129">
        <f>'10.Grain Production details'!G44</f>
        <v>0</v>
      </c>
      <c r="H13" s="129">
        <f>'10.Grain Production details'!H44</f>
        <v>0</v>
      </c>
    </row>
    <row r="14" spans="1:8" hidden="1" x14ac:dyDescent="0.2">
      <c r="A14" s="129" t="str">
        <f>'10.Grain Production details'!A45</f>
        <v>Green Gram/ Moong</v>
      </c>
      <c r="B14" s="129">
        <f>'10.Grain Production details'!B45</f>
        <v>0</v>
      </c>
      <c r="C14" s="129">
        <f>'10.Grain Production details'!C45</f>
        <v>0</v>
      </c>
      <c r="D14" s="129">
        <f>'10.Grain Production details'!D45</f>
        <v>0</v>
      </c>
      <c r="E14" s="129">
        <f>'10.Grain Production details'!E45</f>
        <v>0</v>
      </c>
      <c r="F14" s="129">
        <f>'10.Grain Production details'!F45</f>
        <v>0</v>
      </c>
      <c r="G14" s="129">
        <f>'10.Grain Production details'!G45</f>
        <v>0</v>
      </c>
      <c r="H14" s="129">
        <f>'10.Grain Production details'!H45</f>
        <v>0</v>
      </c>
    </row>
    <row r="15" spans="1:8" hidden="1" x14ac:dyDescent="0.2">
      <c r="A15" s="129" t="str">
        <f>'10.Grain Production details'!A46</f>
        <v>Maize</v>
      </c>
      <c r="B15" s="129">
        <f>'10.Grain Production details'!B46</f>
        <v>0</v>
      </c>
      <c r="C15" s="129">
        <f>'10.Grain Production details'!C46</f>
        <v>0</v>
      </c>
      <c r="D15" s="129">
        <f>'10.Grain Production details'!D46</f>
        <v>0</v>
      </c>
      <c r="E15" s="129">
        <f>'10.Grain Production details'!E46</f>
        <v>0</v>
      </c>
      <c r="F15" s="129">
        <f>'10.Grain Production details'!F46</f>
        <v>0</v>
      </c>
      <c r="G15" s="129">
        <f>'10.Grain Production details'!G46</f>
        <v>0</v>
      </c>
      <c r="H15" s="129">
        <f>'10.Grain Production details'!H46</f>
        <v>0</v>
      </c>
    </row>
    <row r="16" spans="1:8" hidden="1" x14ac:dyDescent="0.2">
      <c r="A16" s="129" t="str">
        <f>'10.Grain Production details'!A47</f>
        <v>Black Gram/Udid</v>
      </c>
      <c r="B16" s="129">
        <f>'10.Grain Production details'!B47</f>
        <v>0</v>
      </c>
      <c r="C16" s="129">
        <f>'10.Grain Production details'!C47</f>
        <v>0</v>
      </c>
      <c r="D16" s="129">
        <f>'10.Grain Production details'!D47</f>
        <v>0</v>
      </c>
      <c r="E16" s="129">
        <f>'10.Grain Production details'!E47</f>
        <v>0</v>
      </c>
      <c r="F16" s="129">
        <f>'10.Grain Production details'!F47</f>
        <v>0</v>
      </c>
      <c r="G16" s="129">
        <f>'10.Grain Production details'!G47</f>
        <v>0</v>
      </c>
      <c r="H16" s="129">
        <f>'10.Grain Production details'!H47</f>
        <v>0</v>
      </c>
    </row>
    <row r="17" spans="1:8" hidden="1" x14ac:dyDescent="0.2">
      <c r="A17" s="129" t="str">
        <f>'10.Grain Production details'!A48</f>
        <v>Bajra</v>
      </c>
      <c r="B17" s="129">
        <f>'10.Grain Production details'!B48</f>
        <v>0</v>
      </c>
      <c r="C17" s="129">
        <f>'10.Grain Production details'!C48</f>
        <v>0</v>
      </c>
      <c r="D17" s="129">
        <f>'10.Grain Production details'!D48</f>
        <v>0</v>
      </c>
      <c r="E17" s="129">
        <f>'10.Grain Production details'!E48</f>
        <v>0</v>
      </c>
      <c r="F17" s="129">
        <f>'10.Grain Production details'!F48</f>
        <v>0</v>
      </c>
      <c r="G17" s="129">
        <f>'10.Grain Production details'!G48</f>
        <v>0</v>
      </c>
      <c r="H17" s="129">
        <f>'10.Grain Production details'!H48</f>
        <v>0</v>
      </c>
    </row>
    <row r="18" spans="1:8" hidden="1" x14ac:dyDescent="0.2">
      <c r="A18" s="129" t="str">
        <f>'10.Grain Production details'!A49</f>
        <v>Jawar</v>
      </c>
      <c r="B18" s="129">
        <f>'10.Grain Production details'!B49</f>
        <v>0</v>
      </c>
      <c r="C18" s="129">
        <f>'10.Grain Production details'!C49</f>
        <v>0</v>
      </c>
      <c r="D18" s="129">
        <f>'10.Grain Production details'!D49</f>
        <v>0</v>
      </c>
      <c r="E18" s="129">
        <f>'10.Grain Production details'!E49</f>
        <v>0</v>
      </c>
      <c r="F18" s="129">
        <f>'10.Grain Production details'!F49</f>
        <v>0</v>
      </c>
      <c r="G18" s="129">
        <f>'10.Grain Production details'!G49</f>
        <v>0</v>
      </c>
      <c r="H18" s="129">
        <f>'10.Grain Production details'!H49</f>
        <v>0</v>
      </c>
    </row>
    <row r="19" spans="1:8" hidden="1" x14ac:dyDescent="0.2">
      <c r="A19" s="129" t="str">
        <f>'10.Grain Production details'!A50</f>
        <v>Sunflower</v>
      </c>
      <c r="B19" s="129">
        <f>'10.Grain Production details'!B50</f>
        <v>0</v>
      </c>
      <c r="C19" s="129">
        <f>'10.Grain Production details'!C50</f>
        <v>0</v>
      </c>
      <c r="D19" s="129">
        <f>'10.Grain Production details'!D50</f>
        <v>0</v>
      </c>
      <c r="E19" s="129">
        <f>'10.Grain Production details'!E50</f>
        <v>0</v>
      </c>
      <c r="F19" s="129">
        <f>'10.Grain Production details'!F50</f>
        <v>0</v>
      </c>
      <c r="G19" s="129">
        <f>'10.Grain Production details'!G50</f>
        <v>0</v>
      </c>
      <c r="H19" s="129">
        <f>'10.Grain Production details'!H50</f>
        <v>0</v>
      </c>
    </row>
    <row r="20" spans="1:8" hidden="1" x14ac:dyDescent="0.2">
      <c r="A20" s="129" t="str">
        <f>'10.Grain Production details'!A51</f>
        <v>Wheat</v>
      </c>
      <c r="B20" s="129">
        <f>'10.Grain Production details'!B51</f>
        <v>0</v>
      </c>
      <c r="C20" s="129">
        <f>'10.Grain Production details'!C51</f>
        <v>0</v>
      </c>
      <c r="D20" s="129">
        <f>'10.Grain Production details'!D51</f>
        <v>0</v>
      </c>
      <c r="E20" s="129">
        <f>'10.Grain Production details'!E51</f>
        <v>0</v>
      </c>
      <c r="F20" s="129">
        <f>'10.Grain Production details'!F51</f>
        <v>0</v>
      </c>
      <c r="G20" s="129">
        <f>'10.Grain Production details'!G51</f>
        <v>0</v>
      </c>
      <c r="H20" s="129">
        <f>'10.Grain Production details'!H51</f>
        <v>0</v>
      </c>
    </row>
    <row r="21" spans="1:8" hidden="1" x14ac:dyDescent="0.2">
      <c r="A21" s="129" t="str">
        <f>'10.Grain Production details'!A52</f>
        <v>Bengal Gram/Channa</v>
      </c>
      <c r="B21" s="129">
        <f>'10.Grain Production details'!B52</f>
        <v>0</v>
      </c>
      <c r="C21" s="129">
        <f>'10.Grain Production details'!C52</f>
        <v>0</v>
      </c>
      <c r="D21" s="129">
        <f>'10.Grain Production details'!D52</f>
        <v>0</v>
      </c>
      <c r="E21" s="129">
        <f>'10.Grain Production details'!E52</f>
        <v>0</v>
      </c>
      <c r="F21" s="129">
        <f>'10.Grain Production details'!F52</f>
        <v>0</v>
      </c>
      <c r="G21" s="129">
        <f>'10.Grain Production details'!G52</f>
        <v>0</v>
      </c>
      <c r="H21" s="129">
        <f>'10.Grain Production details'!H52</f>
        <v>0</v>
      </c>
    </row>
    <row r="22" spans="1:8" hidden="1" x14ac:dyDescent="0.2">
      <c r="A22" s="129" t="str">
        <f>'10.Grain Production details'!A53</f>
        <v>Jawar</v>
      </c>
      <c r="B22" s="129">
        <f>'10.Grain Production details'!B53</f>
        <v>0</v>
      </c>
      <c r="C22" s="129">
        <f>'10.Grain Production details'!C53</f>
        <v>0</v>
      </c>
      <c r="D22" s="129">
        <f>'10.Grain Production details'!D53</f>
        <v>0</v>
      </c>
      <c r="E22" s="129">
        <f>'10.Grain Production details'!E53</f>
        <v>0</v>
      </c>
      <c r="F22" s="129">
        <f>'10.Grain Production details'!F53</f>
        <v>0</v>
      </c>
      <c r="G22" s="129">
        <f>'10.Grain Production details'!G53</f>
        <v>0</v>
      </c>
      <c r="H22" s="129">
        <f>'10.Grain Production details'!H53</f>
        <v>0</v>
      </c>
    </row>
    <row r="23" spans="1:8" hidden="1" x14ac:dyDescent="0.2">
      <c r="A23" s="129" t="str">
        <f>'10.Grain Production details'!A54</f>
        <v>Maize</v>
      </c>
      <c r="B23" s="129">
        <f>'10.Grain Production details'!B54</f>
        <v>0</v>
      </c>
      <c r="C23" s="129">
        <f>'10.Grain Production details'!C54</f>
        <v>0</v>
      </c>
      <c r="D23" s="129">
        <f>'10.Grain Production details'!D54</f>
        <v>0</v>
      </c>
      <c r="E23" s="129">
        <f>'10.Grain Production details'!E54</f>
        <v>0</v>
      </c>
      <c r="F23" s="129">
        <f>'10.Grain Production details'!F54</f>
        <v>0</v>
      </c>
      <c r="G23" s="129">
        <f>'10.Grain Production details'!G54</f>
        <v>0</v>
      </c>
      <c r="H23" s="129">
        <f>'10.Grain Production details'!H54</f>
        <v>0</v>
      </c>
    </row>
    <row r="24" spans="1:8" hidden="1" x14ac:dyDescent="0.2">
      <c r="A24" s="129" t="str">
        <f>'10.Grain Production details'!A55</f>
        <v>Safflower</v>
      </c>
      <c r="B24" s="129">
        <f>'10.Grain Production details'!B55</f>
        <v>0</v>
      </c>
      <c r="C24" s="129">
        <f>'10.Grain Production details'!C55</f>
        <v>0</v>
      </c>
      <c r="D24" s="129">
        <f>'10.Grain Production details'!D55</f>
        <v>0</v>
      </c>
      <c r="E24" s="129">
        <f>'10.Grain Production details'!E55</f>
        <v>0</v>
      </c>
      <c r="F24" s="129">
        <f>'10.Grain Production details'!F55</f>
        <v>0</v>
      </c>
      <c r="G24" s="129">
        <f>'10.Grain Production details'!G55</f>
        <v>0</v>
      </c>
      <c r="H24" s="129">
        <f>'10.Grain Production details'!H55</f>
        <v>0</v>
      </c>
    </row>
    <row r="25" spans="1:8" hidden="1" x14ac:dyDescent="0.2">
      <c r="A25" s="129">
        <f>'10.Grain Production details'!A56</f>
        <v>0</v>
      </c>
      <c r="B25" s="129">
        <f>'10.Grain Production details'!B56</f>
        <v>0</v>
      </c>
      <c r="C25" s="129">
        <f>'10.Grain Production details'!C56</f>
        <v>0</v>
      </c>
      <c r="D25" s="129">
        <f>'10.Grain Production details'!D56</f>
        <v>0</v>
      </c>
      <c r="E25" s="129">
        <f>'10.Grain Production details'!E56</f>
        <v>0</v>
      </c>
      <c r="F25" s="129">
        <f>'10.Grain Production details'!F56</f>
        <v>0</v>
      </c>
      <c r="G25" s="129">
        <f>'10.Grain Production details'!G56</f>
        <v>0</v>
      </c>
      <c r="H25" s="129">
        <f>'10.Grain Production details'!H56</f>
        <v>0</v>
      </c>
    </row>
    <row r="26" spans="1:8" hidden="1" x14ac:dyDescent="0.2">
      <c r="A26" s="129">
        <f>'10.Grain Production details'!A57</f>
        <v>0</v>
      </c>
      <c r="B26" s="129">
        <f>'10.Grain Production details'!B57</f>
        <v>0</v>
      </c>
      <c r="C26" s="129">
        <f>'10.Grain Production details'!C57</f>
        <v>0</v>
      </c>
      <c r="D26" s="129">
        <f>'10.Grain Production details'!D57</f>
        <v>0</v>
      </c>
      <c r="E26" s="129">
        <f>'10.Grain Production details'!E57</f>
        <v>0</v>
      </c>
      <c r="F26" s="129">
        <f>'10.Grain Production details'!F57</f>
        <v>0</v>
      </c>
      <c r="G26" s="129">
        <f>'10.Grain Production details'!G57</f>
        <v>0</v>
      </c>
      <c r="H26" s="129">
        <f>'10.Grain Production details'!H57</f>
        <v>0</v>
      </c>
    </row>
    <row r="27" spans="1:8" hidden="1" x14ac:dyDescent="0.2">
      <c r="A27" s="129">
        <f>'10.Grain Production details'!A58</f>
        <v>0</v>
      </c>
      <c r="B27" s="129">
        <f>'10.Grain Production details'!B58</f>
        <v>0</v>
      </c>
      <c r="C27" s="129">
        <f>'10.Grain Production details'!C58</f>
        <v>0</v>
      </c>
      <c r="D27" s="129">
        <f>'10.Grain Production details'!D58</f>
        <v>0</v>
      </c>
      <c r="E27" s="129">
        <f>'10.Grain Production details'!E58</f>
        <v>0</v>
      </c>
      <c r="F27" s="129">
        <f>'10.Grain Production details'!F58</f>
        <v>0</v>
      </c>
      <c r="G27" s="129">
        <f>'10.Grain Production details'!G58</f>
        <v>0</v>
      </c>
      <c r="H27" s="129">
        <f>'10.Grain Production details'!H58</f>
        <v>0</v>
      </c>
    </row>
    <row r="28" spans="1:8" hidden="1" x14ac:dyDescent="0.2">
      <c r="A28" s="129" t="str">
        <f>'10.Grain Production details'!A59</f>
        <v>Groundnut</v>
      </c>
      <c r="B28" s="129">
        <f>'10.Grain Production details'!B59</f>
        <v>0</v>
      </c>
      <c r="C28" s="129">
        <f>'10.Grain Production details'!C59</f>
        <v>0</v>
      </c>
      <c r="D28" s="129">
        <f>'10.Grain Production details'!D59</f>
        <v>0</v>
      </c>
      <c r="E28" s="129">
        <f>'10.Grain Production details'!E59</f>
        <v>0</v>
      </c>
      <c r="F28" s="129">
        <f>'10.Grain Production details'!F59</f>
        <v>0</v>
      </c>
      <c r="G28" s="129">
        <f>'10.Grain Production details'!G59</f>
        <v>0</v>
      </c>
      <c r="H28" s="129">
        <f>'10.Grain Production details'!H59</f>
        <v>0</v>
      </c>
    </row>
    <row r="29" spans="1:8" hidden="1" x14ac:dyDescent="0.2">
      <c r="A29" s="129">
        <f>'10.Grain Production details'!A60</f>
        <v>0</v>
      </c>
      <c r="B29" s="129">
        <f>'10.Grain Production details'!B60</f>
        <v>0</v>
      </c>
      <c r="C29" s="129">
        <f>'10.Grain Production details'!C60</f>
        <v>0</v>
      </c>
      <c r="D29" s="129">
        <f>'10.Grain Production details'!D60</f>
        <v>0</v>
      </c>
      <c r="E29" s="129">
        <f>'10.Grain Production details'!E60</f>
        <v>0</v>
      </c>
      <c r="F29" s="129">
        <f>'10.Grain Production details'!F60</f>
        <v>0</v>
      </c>
      <c r="G29" s="129">
        <f>'10.Grain Production details'!G60</f>
        <v>0</v>
      </c>
      <c r="H29" s="129">
        <f>'10.Grain Production details'!H60</f>
        <v>0</v>
      </c>
    </row>
    <row r="30" spans="1:8" hidden="1" x14ac:dyDescent="0.2">
      <c r="A30" s="129">
        <f>'10.Grain Production details'!A61</f>
        <v>0</v>
      </c>
      <c r="B30" s="129">
        <f>'10.Grain Production details'!B61</f>
        <v>0</v>
      </c>
      <c r="C30" s="129">
        <f>'10.Grain Production details'!C61</f>
        <v>0</v>
      </c>
      <c r="D30" s="129">
        <f>'10.Grain Production details'!D61</f>
        <v>0</v>
      </c>
      <c r="E30" s="129">
        <f>'10.Grain Production details'!E61</f>
        <v>0</v>
      </c>
      <c r="F30" s="129">
        <f>'10.Grain Production details'!F61</f>
        <v>0</v>
      </c>
      <c r="G30" s="129">
        <f>'10.Grain Production details'!G61</f>
        <v>0</v>
      </c>
      <c r="H30" s="129">
        <f>'10.Grain Production details'!H61</f>
        <v>0</v>
      </c>
    </row>
    <row r="31" spans="1:8" hidden="1" x14ac:dyDescent="0.2">
      <c r="A31" s="129">
        <f>'10.Grain Production details'!A62</f>
        <v>0</v>
      </c>
      <c r="B31" s="129">
        <f>'10.Grain Production details'!B62</f>
        <v>0</v>
      </c>
      <c r="C31" s="129">
        <f>'10.Grain Production details'!C62</f>
        <v>0</v>
      </c>
      <c r="D31" s="129">
        <f>'10.Grain Production details'!D62</f>
        <v>0</v>
      </c>
      <c r="E31" s="129">
        <f>'10.Grain Production details'!E62</f>
        <v>0</v>
      </c>
      <c r="F31" s="129">
        <f>'10.Grain Production details'!F62</f>
        <v>0</v>
      </c>
      <c r="G31" s="129">
        <f>'10.Grain Production details'!G62</f>
        <v>0</v>
      </c>
      <c r="H31" s="129">
        <f>'10.Grain Production details'!H62</f>
        <v>0</v>
      </c>
    </row>
    <row r="32" spans="1:8" hidden="1" x14ac:dyDescent="0.2">
      <c r="A32" s="129">
        <f>'10.Grain Production details'!B63</f>
        <v>0</v>
      </c>
      <c r="B32" s="129">
        <f>'10.Grain Production details'!C63</f>
        <v>0</v>
      </c>
      <c r="C32" s="129">
        <f>'10.Grain Production details'!D63</f>
        <v>0</v>
      </c>
      <c r="D32" s="129">
        <f>'10.Grain Production details'!E63</f>
        <v>0</v>
      </c>
      <c r="E32" s="129">
        <f>'10.Grain Production details'!F63</f>
        <v>0</v>
      </c>
      <c r="F32" s="129">
        <f>'10.Grain Production details'!G63</f>
        <v>0</v>
      </c>
      <c r="G32" s="129">
        <f>'10.Grain Production details'!H63</f>
        <v>0</v>
      </c>
      <c r="H32" s="129">
        <f>'10.Grain Production details'!I63</f>
        <v>0</v>
      </c>
    </row>
    <row r="33" spans="1:8" hidden="1" x14ac:dyDescent="0.2">
      <c r="A33" s="98" t="s">
        <v>507</v>
      </c>
      <c r="B33" s="129">
        <f t="shared" ref="B33:H33" si="1">SUM(B11:B32)</f>
        <v>0</v>
      </c>
      <c r="C33" s="129">
        <f t="shared" si="1"/>
        <v>0</v>
      </c>
      <c r="D33" s="129">
        <f t="shared" si="1"/>
        <v>0</v>
      </c>
      <c r="E33" s="129">
        <f t="shared" si="1"/>
        <v>0</v>
      </c>
      <c r="F33" s="129">
        <f t="shared" si="1"/>
        <v>0</v>
      </c>
      <c r="G33" s="129">
        <f t="shared" si="1"/>
        <v>0</v>
      </c>
      <c r="H33" s="129">
        <f t="shared" si="1"/>
        <v>0</v>
      </c>
    </row>
    <row r="34" spans="1:8" hidden="1" x14ac:dyDescent="0.2">
      <c r="A34" s="129" t="str">
        <f>'11.F&amp;V Crop Production details'!A1:H1</f>
        <v>Fruit  &amp; Vegetables Crop Production Details</v>
      </c>
      <c r="B34" s="129"/>
      <c r="C34" s="129"/>
      <c r="D34" s="129"/>
      <c r="E34" s="129"/>
      <c r="F34" s="129"/>
      <c r="G34" s="129"/>
      <c r="H34" s="129"/>
    </row>
    <row r="35" spans="1:8" hidden="1" x14ac:dyDescent="0.2">
      <c r="A35" s="129" t="str">
        <f>'11.F&amp;V Crop Production details'!A46</f>
        <v>Onion</v>
      </c>
      <c r="B35" s="129">
        <f>'11.F&amp;V Crop Production details'!B46</f>
        <v>0</v>
      </c>
      <c r="C35" s="129">
        <f>'11.F&amp;V Crop Production details'!C46</f>
        <v>0</v>
      </c>
      <c r="D35" s="129">
        <f>'11.F&amp;V Crop Production details'!D46</f>
        <v>0</v>
      </c>
      <c r="E35" s="129">
        <f>'11.F&amp;V Crop Production details'!E46</f>
        <v>0</v>
      </c>
      <c r="F35" s="129">
        <f>'11.F&amp;V Crop Production details'!F46</f>
        <v>0</v>
      </c>
      <c r="G35" s="129">
        <f>'11.F&amp;V Crop Production details'!G46</f>
        <v>0</v>
      </c>
      <c r="H35" s="129">
        <f>'11.F&amp;V Crop Production details'!H46</f>
        <v>0</v>
      </c>
    </row>
    <row r="36" spans="1:8" hidden="1" x14ac:dyDescent="0.2">
      <c r="A36" s="129" t="str">
        <f>'11.F&amp;V Crop Production details'!A47</f>
        <v>Tomato</v>
      </c>
      <c r="B36" s="129">
        <f>'11.F&amp;V Crop Production details'!B47</f>
        <v>0</v>
      </c>
      <c r="C36" s="129">
        <f>'11.F&amp;V Crop Production details'!C47</f>
        <v>0</v>
      </c>
      <c r="D36" s="129">
        <f>'11.F&amp;V Crop Production details'!D47</f>
        <v>0</v>
      </c>
      <c r="E36" s="129">
        <f>'11.F&amp;V Crop Production details'!E47</f>
        <v>0</v>
      </c>
      <c r="F36" s="129">
        <f>'11.F&amp;V Crop Production details'!F47</f>
        <v>0</v>
      </c>
      <c r="G36" s="129">
        <f>'11.F&amp;V Crop Production details'!G47</f>
        <v>0</v>
      </c>
      <c r="H36" s="129">
        <f>'11.F&amp;V Crop Production details'!H47</f>
        <v>0</v>
      </c>
    </row>
    <row r="37" spans="1:8" hidden="1" x14ac:dyDescent="0.2">
      <c r="A37" s="129" t="str">
        <f>'11.F&amp;V Crop Production details'!A48</f>
        <v>Okra</v>
      </c>
      <c r="B37" s="129">
        <f>'11.F&amp;V Crop Production details'!B48</f>
        <v>0</v>
      </c>
      <c r="C37" s="129">
        <f>'11.F&amp;V Crop Production details'!C48</f>
        <v>0</v>
      </c>
      <c r="D37" s="129">
        <f>'11.F&amp;V Crop Production details'!D48</f>
        <v>0</v>
      </c>
      <c r="E37" s="129">
        <f>'11.F&amp;V Crop Production details'!E48</f>
        <v>0</v>
      </c>
      <c r="F37" s="129">
        <f>'11.F&amp;V Crop Production details'!F48</f>
        <v>0</v>
      </c>
      <c r="G37" s="129">
        <f>'11.F&amp;V Crop Production details'!G48</f>
        <v>0</v>
      </c>
      <c r="H37" s="129">
        <f>'11.F&amp;V Crop Production details'!H48</f>
        <v>0</v>
      </c>
    </row>
    <row r="38" spans="1:8" hidden="1" x14ac:dyDescent="0.2">
      <c r="A38" s="129" t="str">
        <f>'11.F&amp;V Crop Production details'!A49</f>
        <v>Chilli</v>
      </c>
      <c r="B38" s="129">
        <f>'11.F&amp;V Crop Production details'!B49</f>
        <v>0</v>
      </c>
      <c r="C38" s="129">
        <f>'11.F&amp;V Crop Production details'!C49</f>
        <v>0</v>
      </c>
      <c r="D38" s="129">
        <f>'11.F&amp;V Crop Production details'!D49</f>
        <v>0</v>
      </c>
      <c r="E38" s="129">
        <f>'11.F&amp;V Crop Production details'!E49</f>
        <v>0</v>
      </c>
      <c r="F38" s="129">
        <f>'11.F&amp;V Crop Production details'!F49</f>
        <v>0</v>
      </c>
      <c r="G38" s="129">
        <f>'11.F&amp;V Crop Production details'!G49</f>
        <v>0</v>
      </c>
      <c r="H38" s="129">
        <f>'11.F&amp;V Crop Production details'!H49</f>
        <v>0</v>
      </c>
    </row>
    <row r="39" spans="1:8" hidden="1" x14ac:dyDescent="0.2">
      <c r="A39" s="129" t="str">
        <f>'11.F&amp;V Crop Production details'!A50</f>
        <v>Potato</v>
      </c>
      <c r="B39" s="129">
        <f>'11.F&amp;V Crop Production details'!B50</f>
        <v>0</v>
      </c>
      <c r="C39" s="129">
        <f>'11.F&amp;V Crop Production details'!C50</f>
        <v>0</v>
      </c>
      <c r="D39" s="129">
        <f>'11.F&amp;V Crop Production details'!D50</f>
        <v>0</v>
      </c>
      <c r="E39" s="129">
        <f>'11.F&amp;V Crop Production details'!E50</f>
        <v>0</v>
      </c>
      <c r="F39" s="129">
        <f>'11.F&amp;V Crop Production details'!F50</f>
        <v>0</v>
      </c>
      <c r="G39" s="129">
        <f>'11.F&amp;V Crop Production details'!G50</f>
        <v>0</v>
      </c>
      <c r="H39" s="129">
        <f>'11.F&amp;V Crop Production details'!H50</f>
        <v>0</v>
      </c>
    </row>
    <row r="40" spans="1:8" hidden="1" x14ac:dyDescent="0.2">
      <c r="A40" s="129">
        <f>'11.F&amp;V Crop Production details'!A51</f>
        <v>0</v>
      </c>
      <c r="B40" s="129">
        <f>'11.F&amp;V Crop Production details'!B51</f>
        <v>0</v>
      </c>
      <c r="C40" s="129">
        <f>'11.F&amp;V Crop Production details'!C51</f>
        <v>0</v>
      </c>
      <c r="D40" s="129">
        <f>'11.F&amp;V Crop Production details'!D51</f>
        <v>0</v>
      </c>
      <c r="E40" s="129">
        <f>'11.F&amp;V Crop Production details'!E51</f>
        <v>0</v>
      </c>
      <c r="F40" s="129">
        <f>'11.F&amp;V Crop Production details'!F51</f>
        <v>0</v>
      </c>
      <c r="G40" s="129">
        <f>'11.F&amp;V Crop Production details'!G51</f>
        <v>0</v>
      </c>
      <c r="H40" s="129">
        <f>'11.F&amp;V Crop Production details'!H51</f>
        <v>0</v>
      </c>
    </row>
    <row r="41" spans="1:8" hidden="1" x14ac:dyDescent="0.2">
      <c r="A41" s="129">
        <f>'11.F&amp;V Crop Production details'!A52</f>
        <v>0</v>
      </c>
      <c r="B41" s="129">
        <f>'11.F&amp;V Crop Production details'!B52</f>
        <v>0</v>
      </c>
      <c r="C41" s="129">
        <f>'11.F&amp;V Crop Production details'!C52</f>
        <v>0</v>
      </c>
      <c r="D41" s="129">
        <f>'11.F&amp;V Crop Production details'!D52</f>
        <v>0</v>
      </c>
      <c r="E41" s="129">
        <f>'11.F&amp;V Crop Production details'!E52</f>
        <v>0</v>
      </c>
      <c r="F41" s="129">
        <f>'11.F&amp;V Crop Production details'!F52</f>
        <v>0</v>
      </c>
      <c r="G41" s="129">
        <f>'11.F&amp;V Crop Production details'!G52</f>
        <v>0</v>
      </c>
      <c r="H41" s="129">
        <f>'11.F&amp;V Crop Production details'!H52</f>
        <v>0</v>
      </c>
    </row>
    <row r="42" spans="1:8" hidden="1" x14ac:dyDescent="0.2">
      <c r="A42" s="129">
        <f>'11.F&amp;V Crop Production details'!A53</f>
        <v>0</v>
      </c>
      <c r="B42" s="129">
        <f>'11.F&amp;V Crop Production details'!B53</f>
        <v>0</v>
      </c>
      <c r="C42" s="129">
        <f>'11.F&amp;V Crop Production details'!C53</f>
        <v>0</v>
      </c>
      <c r="D42" s="129">
        <f>'11.F&amp;V Crop Production details'!D53</f>
        <v>0</v>
      </c>
      <c r="E42" s="129">
        <f>'11.F&amp;V Crop Production details'!E53</f>
        <v>0</v>
      </c>
      <c r="F42" s="129">
        <f>'11.F&amp;V Crop Production details'!F53</f>
        <v>0</v>
      </c>
      <c r="G42" s="129">
        <f>'11.F&amp;V Crop Production details'!G53</f>
        <v>0</v>
      </c>
      <c r="H42" s="129">
        <f>'11.F&amp;V Crop Production details'!H53</f>
        <v>0</v>
      </c>
    </row>
    <row r="43" spans="1:8" hidden="1" x14ac:dyDescent="0.2">
      <c r="A43" s="129">
        <f>'11.F&amp;V Crop Production details'!A54</f>
        <v>0</v>
      </c>
      <c r="B43" s="129">
        <f>'11.F&amp;V Crop Production details'!B54</f>
        <v>0</v>
      </c>
      <c r="C43" s="129">
        <f>'11.F&amp;V Crop Production details'!C54</f>
        <v>0</v>
      </c>
      <c r="D43" s="129">
        <f>'11.F&amp;V Crop Production details'!D54</f>
        <v>0</v>
      </c>
      <c r="E43" s="129">
        <f>'11.F&amp;V Crop Production details'!E54</f>
        <v>0</v>
      </c>
      <c r="F43" s="129">
        <f>'11.F&amp;V Crop Production details'!F54</f>
        <v>0</v>
      </c>
      <c r="G43" s="129">
        <f>'11.F&amp;V Crop Production details'!G54</f>
        <v>0</v>
      </c>
      <c r="H43" s="129">
        <f>'11.F&amp;V Crop Production details'!H54</f>
        <v>0</v>
      </c>
    </row>
    <row r="44" spans="1:8" hidden="1" x14ac:dyDescent="0.2">
      <c r="A44" s="129" t="str">
        <f>'11.F&amp;V Crop Production details'!A55</f>
        <v>Onion</v>
      </c>
      <c r="B44" s="129">
        <f>'11.F&amp;V Crop Production details'!B55</f>
        <v>0</v>
      </c>
      <c r="C44" s="129">
        <f>'11.F&amp;V Crop Production details'!C55</f>
        <v>0</v>
      </c>
      <c r="D44" s="129">
        <f>'11.F&amp;V Crop Production details'!D55</f>
        <v>0</v>
      </c>
      <c r="E44" s="129">
        <f>'11.F&amp;V Crop Production details'!E55</f>
        <v>0</v>
      </c>
      <c r="F44" s="129">
        <f>'11.F&amp;V Crop Production details'!F55</f>
        <v>0</v>
      </c>
      <c r="G44" s="129">
        <f>'11.F&amp;V Crop Production details'!G55</f>
        <v>0</v>
      </c>
      <c r="H44" s="129">
        <f>'11.F&amp;V Crop Production details'!H55</f>
        <v>0</v>
      </c>
    </row>
    <row r="45" spans="1:8" hidden="1" x14ac:dyDescent="0.2">
      <c r="A45" s="129" t="str">
        <f>'11.F&amp;V Crop Production details'!A56</f>
        <v>Tomato</v>
      </c>
      <c r="B45" s="129">
        <f>'11.F&amp;V Crop Production details'!B56</f>
        <v>0</v>
      </c>
      <c r="C45" s="129">
        <f>'11.F&amp;V Crop Production details'!C56</f>
        <v>0</v>
      </c>
      <c r="D45" s="129">
        <f>'11.F&amp;V Crop Production details'!D56</f>
        <v>0</v>
      </c>
      <c r="E45" s="129">
        <f>'11.F&amp;V Crop Production details'!E56</f>
        <v>0</v>
      </c>
      <c r="F45" s="129">
        <f>'11.F&amp;V Crop Production details'!F56</f>
        <v>0</v>
      </c>
      <c r="G45" s="129">
        <f>'11.F&amp;V Crop Production details'!G56</f>
        <v>0</v>
      </c>
      <c r="H45" s="129">
        <f>'11.F&amp;V Crop Production details'!H56</f>
        <v>0</v>
      </c>
    </row>
    <row r="46" spans="1:8" hidden="1" x14ac:dyDescent="0.2">
      <c r="A46" s="129" t="str">
        <f>'11.F&amp;V Crop Production details'!A57</f>
        <v>Okra</v>
      </c>
      <c r="B46" s="129">
        <f>'11.F&amp;V Crop Production details'!B57</f>
        <v>0</v>
      </c>
      <c r="C46" s="129">
        <f>'11.F&amp;V Crop Production details'!C57</f>
        <v>0</v>
      </c>
      <c r="D46" s="129">
        <f>'11.F&amp;V Crop Production details'!D57</f>
        <v>0</v>
      </c>
      <c r="E46" s="129">
        <f>'11.F&amp;V Crop Production details'!E57</f>
        <v>0</v>
      </c>
      <c r="F46" s="129">
        <f>'11.F&amp;V Crop Production details'!F57</f>
        <v>0</v>
      </c>
      <c r="G46" s="129">
        <f>'11.F&amp;V Crop Production details'!G57</f>
        <v>0</v>
      </c>
      <c r="H46" s="129">
        <f>'11.F&amp;V Crop Production details'!H57</f>
        <v>0</v>
      </c>
    </row>
    <row r="47" spans="1:8" hidden="1" x14ac:dyDescent="0.2">
      <c r="A47" s="129" t="str">
        <f>'11.F&amp;V Crop Production details'!A58</f>
        <v>Chilli</v>
      </c>
      <c r="B47" s="129">
        <f>'11.F&amp;V Crop Production details'!B58</f>
        <v>0</v>
      </c>
      <c r="C47" s="129">
        <f>'11.F&amp;V Crop Production details'!C58</f>
        <v>0</v>
      </c>
      <c r="D47" s="129">
        <f>'11.F&amp;V Crop Production details'!D58</f>
        <v>0</v>
      </c>
      <c r="E47" s="129">
        <f>'11.F&amp;V Crop Production details'!E58</f>
        <v>0</v>
      </c>
      <c r="F47" s="129">
        <f>'11.F&amp;V Crop Production details'!F58</f>
        <v>0</v>
      </c>
      <c r="G47" s="129">
        <f>'11.F&amp;V Crop Production details'!G58</f>
        <v>0</v>
      </c>
      <c r="H47" s="129">
        <f>'11.F&amp;V Crop Production details'!H58</f>
        <v>0</v>
      </c>
    </row>
    <row r="48" spans="1:8" hidden="1" x14ac:dyDescent="0.2">
      <c r="A48" s="129" t="str">
        <f>'11.F&amp;V Crop Production details'!A59</f>
        <v>Brinjal</v>
      </c>
      <c r="B48" s="129">
        <f>'11.F&amp;V Crop Production details'!B59</f>
        <v>0</v>
      </c>
      <c r="C48" s="129">
        <f>'11.F&amp;V Crop Production details'!C59</f>
        <v>0</v>
      </c>
      <c r="D48" s="129">
        <f>'11.F&amp;V Crop Production details'!D59</f>
        <v>0</v>
      </c>
      <c r="E48" s="129">
        <f>'11.F&amp;V Crop Production details'!E59</f>
        <v>0</v>
      </c>
      <c r="F48" s="129">
        <f>'11.F&amp;V Crop Production details'!F59</f>
        <v>0</v>
      </c>
      <c r="G48" s="129">
        <f>'11.F&amp;V Crop Production details'!G59</f>
        <v>0</v>
      </c>
      <c r="H48" s="129">
        <f>'11.F&amp;V Crop Production details'!H59</f>
        <v>0</v>
      </c>
    </row>
    <row r="49" spans="1:8" hidden="1" x14ac:dyDescent="0.2">
      <c r="A49" s="129">
        <f>'11.F&amp;V Crop Production details'!A60</f>
        <v>0</v>
      </c>
      <c r="B49" s="129">
        <f>'11.F&amp;V Crop Production details'!B60</f>
        <v>0</v>
      </c>
      <c r="C49" s="129">
        <f>'11.F&amp;V Crop Production details'!C60</f>
        <v>0</v>
      </c>
      <c r="D49" s="129">
        <f>'11.F&amp;V Crop Production details'!D60</f>
        <v>0</v>
      </c>
      <c r="E49" s="129">
        <f>'11.F&amp;V Crop Production details'!E60</f>
        <v>0</v>
      </c>
      <c r="F49" s="129">
        <f>'11.F&amp;V Crop Production details'!F60</f>
        <v>0</v>
      </c>
      <c r="G49" s="129">
        <f>'11.F&amp;V Crop Production details'!G60</f>
        <v>0</v>
      </c>
      <c r="H49" s="129">
        <f>'11.F&amp;V Crop Production details'!H60</f>
        <v>0</v>
      </c>
    </row>
    <row r="50" spans="1:8" hidden="1" x14ac:dyDescent="0.2">
      <c r="A50" s="129">
        <f>'11.F&amp;V Crop Production details'!A61</f>
        <v>0</v>
      </c>
      <c r="B50" s="129">
        <f>'11.F&amp;V Crop Production details'!B61</f>
        <v>0</v>
      </c>
      <c r="C50" s="129">
        <f>'11.F&amp;V Crop Production details'!C61</f>
        <v>0</v>
      </c>
      <c r="D50" s="129">
        <f>'11.F&amp;V Crop Production details'!D61</f>
        <v>0</v>
      </c>
      <c r="E50" s="129">
        <f>'11.F&amp;V Crop Production details'!E61</f>
        <v>0</v>
      </c>
      <c r="F50" s="129">
        <f>'11.F&amp;V Crop Production details'!F61</f>
        <v>0</v>
      </c>
      <c r="G50" s="129">
        <f>'11.F&amp;V Crop Production details'!G61</f>
        <v>0</v>
      </c>
      <c r="H50" s="129">
        <f>'11.F&amp;V Crop Production details'!H61</f>
        <v>0</v>
      </c>
    </row>
    <row r="51" spans="1:8" hidden="1" x14ac:dyDescent="0.2">
      <c r="A51" s="129">
        <f>'11.F&amp;V Crop Production details'!A62</f>
        <v>0</v>
      </c>
      <c r="B51" s="129">
        <f>'11.F&amp;V Crop Production details'!B62</f>
        <v>0</v>
      </c>
      <c r="C51" s="129">
        <f>'11.F&amp;V Crop Production details'!C62</f>
        <v>0</v>
      </c>
      <c r="D51" s="129">
        <f>'11.F&amp;V Crop Production details'!D62</f>
        <v>0</v>
      </c>
      <c r="E51" s="129">
        <f>'11.F&amp;V Crop Production details'!E62</f>
        <v>0</v>
      </c>
      <c r="F51" s="129">
        <f>'11.F&amp;V Crop Production details'!F62</f>
        <v>0</v>
      </c>
      <c r="G51" s="129">
        <f>'11.F&amp;V Crop Production details'!G62</f>
        <v>0</v>
      </c>
      <c r="H51" s="129">
        <f>'11.F&amp;V Crop Production details'!H62</f>
        <v>0</v>
      </c>
    </row>
    <row r="52" spans="1:8" hidden="1" x14ac:dyDescent="0.2">
      <c r="A52" s="129">
        <f>'11.F&amp;V Crop Production details'!A63</f>
        <v>0</v>
      </c>
      <c r="B52" s="129">
        <f>'11.F&amp;V Crop Production details'!B63</f>
        <v>0</v>
      </c>
      <c r="C52" s="129">
        <f>'11.F&amp;V Crop Production details'!C63</f>
        <v>0</v>
      </c>
      <c r="D52" s="129">
        <f>'11.F&amp;V Crop Production details'!D63</f>
        <v>0</v>
      </c>
      <c r="E52" s="129">
        <f>'11.F&amp;V Crop Production details'!E63</f>
        <v>0</v>
      </c>
      <c r="F52" s="129">
        <f>'11.F&amp;V Crop Production details'!F63</f>
        <v>0</v>
      </c>
      <c r="G52" s="129">
        <f>'11.F&amp;V Crop Production details'!G63</f>
        <v>0</v>
      </c>
      <c r="H52" s="129">
        <f>'11.F&amp;V Crop Production details'!H63</f>
        <v>0</v>
      </c>
    </row>
    <row r="53" spans="1:8" hidden="1" x14ac:dyDescent="0.2">
      <c r="A53" s="129">
        <f>'11.F&amp;V Crop Production details'!A64</f>
        <v>0</v>
      </c>
      <c r="B53" s="129"/>
      <c r="C53" s="129"/>
      <c r="D53" s="129"/>
      <c r="E53" s="129"/>
      <c r="F53" s="129"/>
      <c r="G53" s="129"/>
      <c r="H53" s="129"/>
    </row>
    <row r="54" spans="1:8" hidden="1" x14ac:dyDescent="0.2">
      <c r="A54" s="129">
        <f>'11.F&amp;V Crop Production details'!A65</f>
        <v>0</v>
      </c>
      <c r="B54" s="129"/>
      <c r="C54" s="129"/>
      <c r="D54" s="129"/>
      <c r="E54" s="129"/>
      <c r="F54" s="129"/>
      <c r="G54" s="129"/>
      <c r="H54" s="129"/>
    </row>
    <row r="55" spans="1:8" hidden="1" x14ac:dyDescent="0.2">
      <c r="A55" s="129">
        <f>'11.F&amp;V Crop Production details'!A66</f>
        <v>0</v>
      </c>
      <c r="B55" s="129"/>
      <c r="C55" s="129"/>
      <c r="D55" s="129"/>
      <c r="E55" s="129"/>
      <c r="F55" s="129"/>
      <c r="G55" s="129"/>
      <c r="H55" s="129"/>
    </row>
    <row r="56" spans="1:8" hidden="1" x14ac:dyDescent="0.2">
      <c r="A56" s="129" t="str">
        <f>'11.F&amp;V Crop Production details'!A67</f>
        <v>Pomegranate</v>
      </c>
      <c r="B56" s="129">
        <f>'11.F&amp;V Crop Production details'!B67</f>
        <v>0</v>
      </c>
      <c r="C56" s="129">
        <f>'11.F&amp;V Crop Production details'!C67</f>
        <v>0</v>
      </c>
      <c r="D56" s="129">
        <f>'11.F&amp;V Crop Production details'!D67</f>
        <v>0</v>
      </c>
      <c r="E56" s="129">
        <f>'11.F&amp;V Crop Production details'!E67</f>
        <v>0</v>
      </c>
      <c r="F56" s="129">
        <f>'11.F&amp;V Crop Production details'!F67</f>
        <v>0</v>
      </c>
      <c r="G56" s="129">
        <f>'11.F&amp;V Crop Production details'!G67</f>
        <v>0</v>
      </c>
      <c r="H56" s="129">
        <f>'11.F&amp;V Crop Production details'!H67</f>
        <v>0</v>
      </c>
    </row>
    <row r="57" spans="1:8" hidden="1" x14ac:dyDescent="0.2">
      <c r="A57" s="129" t="str">
        <f>'11.F&amp;V Crop Production details'!A68</f>
        <v>Custard Apple</v>
      </c>
      <c r="B57" s="129">
        <f>'11.F&amp;V Crop Production details'!B68</f>
        <v>0</v>
      </c>
      <c r="C57" s="129">
        <f>'11.F&amp;V Crop Production details'!C68</f>
        <v>0</v>
      </c>
      <c r="D57" s="129">
        <f>'11.F&amp;V Crop Production details'!D68</f>
        <v>0</v>
      </c>
      <c r="E57" s="129">
        <f>'11.F&amp;V Crop Production details'!E68</f>
        <v>0</v>
      </c>
      <c r="F57" s="129">
        <f>'11.F&amp;V Crop Production details'!F68</f>
        <v>0</v>
      </c>
      <c r="G57" s="129">
        <f>'11.F&amp;V Crop Production details'!G68</f>
        <v>0</v>
      </c>
      <c r="H57" s="129">
        <f>'11.F&amp;V Crop Production details'!H68</f>
        <v>0</v>
      </c>
    </row>
    <row r="58" spans="1:8" hidden="1" x14ac:dyDescent="0.2">
      <c r="A58" s="129" t="str">
        <f>'11.F&amp;V Crop Production details'!A69</f>
        <v>Guava</v>
      </c>
      <c r="B58" s="129">
        <f>'11.F&amp;V Crop Production details'!B69</f>
        <v>0</v>
      </c>
      <c r="C58" s="129">
        <f>'11.F&amp;V Crop Production details'!C69</f>
        <v>0</v>
      </c>
      <c r="D58" s="129">
        <f>'11.F&amp;V Crop Production details'!D69</f>
        <v>0</v>
      </c>
      <c r="E58" s="129">
        <f>'11.F&amp;V Crop Production details'!E69</f>
        <v>0</v>
      </c>
      <c r="F58" s="129">
        <f>'11.F&amp;V Crop Production details'!F69</f>
        <v>0</v>
      </c>
      <c r="G58" s="129">
        <f>'11.F&amp;V Crop Production details'!G69</f>
        <v>0</v>
      </c>
      <c r="H58" s="129">
        <f>'11.F&amp;V Crop Production details'!H69</f>
        <v>0</v>
      </c>
    </row>
    <row r="59" spans="1:8" hidden="1" x14ac:dyDescent="0.2">
      <c r="A59" s="129" t="str">
        <f>'11.F&amp;V Crop Production details'!A70</f>
        <v>Citrus</v>
      </c>
      <c r="B59" s="129">
        <f>'11.F&amp;V Crop Production details'!B70</f>
        <v>0</v>
      </c>
      <c r="C59" s="129">
        <f>'11.F&amp;V Crop Production details'!C70</f>
        <v>0</v>
      </c>
      <c r="D59" s="129">
        <f>'11.F&amp;V Crop Production details'!D70</f>
        <v>0</v>
      </c>
      <c r="E59" s="129">
        <f>'11.F&amp;V Crop Production details'!E70</f>
        <v>0</v>
      </c>
      <c r="F59" s="129">
        <f>'11.F&amp;V Crop Production details'!F70</f>
        <v>0</v>
      </c>
      <c r="G59" s="129">
        <f>'11.F&amp;V Crop Production details'!G70</f>
        <v>0</v>
      </c>
      <c r="H59" s="129">
        <f>'11.F&amp;V Crop Production details'!H70</f>
        <v>0</v>
      </c>
    </row>
    <row r="60" spans="1:8" hidden="1" x14ac:dyDescent="0.2">
      <c r="A60" s="129"/>
      <c r="B60" s="129"/>
      <c r="C60" s="129"/>
      <c r="D60" s="129"/>
      <c r="E60" s="129"/>
      <c r="F60" s="129"/>
      <c r="G60" s="129"/>
      <c r="H60" s="129"/>
    </row>
    <row r="61" spans="1:8" hidden="1" x14ac:dyDescent="0.2">
      <c r="A61" s="98" t="s">
        <v>506</v>
      </c>
      <c r="B61" s="129">
        <f t="shared" ref="B61:H61" si="2">SUM(B35:B59)</f>
        <v>0</v>
      </c>
      <c r="C61" s="129">
        <f t="shared" si="2"/>
        <v>0</v>
      </c>
      <c r="D61" s="129">
        <f t="shared" si="2"/>
        <v>0</v>
      </c>
      <c r="E61" s="129">
        <f t="shared" si="2"/>
        <v>0</v>
      </c>
      <c r="F61" s="129">
        <f t="shared" si="2"/>
        <v>0</v>
      </c>
      <c r="G61" s="129">
        <f t="shared" si="2"/>
        <v>0</v>
      </c>
      <c r="H61" s="129">
        <f t="shared" si="2"/>
        <v>0</v>
      </c>
    </row>
    <row r="62" spans="1:8" hidden="1" x14ac:dyDescent="0.2">
      <c r="A62" s="130" t="s">
        <v>508</v>
      </c>
      <c r="B62" s="131">
        <v>0.5</v>
      </c>
      <c r="C62" s="131">
        <v>0.5</v>
      </c>
      <c r="D62" s="131">
        <v>0.5</v>
      </c>
      <c r="E62" s="131">
        <v>0.5</v>
      </c>
      <c r="F62" s="131">
        <v>0.5</v>
      </c>
      <c r="G62" s="131">
        <v>0.5</v>
      </c>
      <c r="H62" s="131">
        <v>0.5</v>
      </c>
    </row>
    <row r="63" spans="1:8" hidden="1" x14ac:dyDescent="0.2">
      <c r="A63" s="130" t="s">
        <v>509</v>
      </c>
      <c r="B63" s="131">
        <f t="shared" ref="B63:H63" si="3">1-B62</f>
        <v>0.5</v>
      </c>
      <c r="C63" s="131">
        <f t="shared" si="3"/>
        <v>0.5</v>
      </c>
      <c r="D63" s="131">
        <f t="shared" si="3"/>
        <v>0.5</v>
      </c>
      <c r="E63" s="131">
        <f t="shared" si="3"/>
        <v>0.5</v>
      </c>
      <c r="F63" s="131">
        <f t="shared" si="3"/>
        <v>0.5</v>
      </c>
      <c r="G63" s="131">
        <f t="shared" si="3"/>
        <v>0.5</v>
      </c>
      <c r="H63" s="131">
        <f t="shared" si="3"/>
        <v>0.5</v>
      </c>
    </row>
    <row r="64" spans="1:8" hidden="1" x14ac:dyDescent="0.2">
      <c r="A64" s="130"/>
      <c r="B64" s="131"/>
      <c r="C64" s="131"/>
      <c r="D64" s="131"/>
      <c r="E64" s="131"/>
      <c r="F64" s="131"/>
      <c r="G64" s="131"/>
      <c r="H64" s="131"/>
    </row>
    <row r="65" spans="1:8" hidden="1" x14ac:dyDescent="0.2">
      <c r="A65" s="130" t="s">
        <v>164</v>
      </c>
      <c r="B65" s="132">
        <f t="shared" ref="B65:H65" si="4">B33*B62</f>
        <v>0</v>
      </c>
      <c r="C65" s="132">
        <f t="shared" si="4"/>
        <v>0</v>
      </c>
      <c r="D65" s="132">
        <f t="shared" si="4"/>
        <v>0</v>
      </c>
      <c r="E65" s="132">
        <f t="shared" si="4"/>
        <v>0</v>
      </c>
      <c r="F65" s="132">
        <f t="shared" si="4"/>
        <v>0</v>
      </c>
      <c r="G65" s="132">
        <f t="shared" si="4"/>
        <v>0</v>
      </c>
      <c r="H65" s="132">
        <f t="shared" si="4"/>
        <v>0</v>
      </c>
    </row>
    <row r="66" spans="1:8" hidden="1" x14ac:dyDescent="0.2">
      <c r="A66" s="98"/>
      <c r="B66" s="129"/>
      <c r="C66" s="129"/>
      <c r="D66" s="129"/>
      <c r="E66" s="129"/>
      <c r="F66" s="129"/>
      <c r="G66" s="129"/>
      <c r="H66" s="129"/>
    </row>
    <row r="67" spans="1:8" hidden="1" x14ac:dyDescent="0.2">
      <c r="A67" s="98" t="s">
        <v>165</v>
      </c>
      <c r="B67" s="129"/>
      <c r="C67" s="129"/>
      <c r="D67" s="129"/>
      <c r="E67" s="129"/>
      <c r="F67" s="129"/>
      <c r="G67" s="129"/>
      <c r="H67" s="129"/>
    </row>
    <row r="68" spans="1:8" hidden="1" x14ac:dyDescent="0.2">
      <c r="A68" s="93" t="str">
        <f t="shared" ref="A68:A89" si="5">A11</f>
        <v>Soybean</v>
      </c>
      <c r="B68" s="133">
        <f t="shared" ref="B68:B89" si="6">B11*$B$63</f>
        <v>0</v>
      </c>
      <c r="C68" s="133">
        <f t="shared" ref="C68:C83" si="7">C11*$C$63</f>
        <v>0</v>
      </c>
      <c r="D68" s="133">
        <f t="shared" ref="D68:D83" si="8">D11*$D$63</f>
        <v>0</v>
      </c>
      <c r="E68" s="133">
        <f t="shared" ref="E68:E83" si="9">E11*$E$63</f>
        <v>0</v>
      </c>
      <c r="F68" s="133">
        <f t="shared" ref="F68:F83" si="10">F11*$F$63</f>
        <v>0</v>
      </c>
      <c r="G68" s="133">
        <f t="shared" ref="G68:G83" si="11">G11*$G$63</f>
        <v>0</v>
      </c>
      <c r="H68" s="133">
        <f t="shared" ref="H68:H83" si="12">H11*$H$63</f>
        <v>0</v>
      </c>
    </row>
    <row r="69" spans="1:8" hidden="1" x14ac:dyDescent="0.2">
      <c r="A69" s="93" t="str">
        <f t="shared" si="5"/>
        <v>Red Gram/Tur</v>
      </c>
      <c r="B69" s="133">
        <f t="shared" si="6"/>
        <v>0</v>
      </c>
      <c r="C69" s="133">
        <f t="shared" si="7"/>
        <v>0</v>
      </c>
      <c r="D69" s="133">
        <f t="shared" si="8"/>
        <v>0</v>
      </c>
      <c r="E69" s="133">
        <f t="shared" si="9"/>
        <v>0</v>
      </c>
      <c r="F69" s="133">
        <f t="shared" si="10"/>
        <v>0</v>
      </c>
      <c r="G69" s="133">
        <f t="shared" si="11"/>
        <v>0</v>
      </c>
      <c r="H69" s="133">
        <f t="shared" si="12"/>
        <v>0</v>
      </c>
    </row>
    <row r="70" spans="1:8" hidden="1" x14ac:dyDescent="0.2">
      <c r="A70" s="93" t="str">
        <f t="shared" si="5"/>
        <v>Paddy/Rice</v>
      </c>
      <c r="B70" s="133">
        <f t="shared" si="6"/>
        <v>0</v>
      </c>
      <c r="C70" s="133">
        <f t="shared" si="7"/>
        <v>0</v>
      </c>
      <c r="D70" s="133">
        <f t="shared" si="8"/>
        <v>0</v>
      </c>
      <c r="E70" s="133">
        <f t="shared" si="9"/>
        <v>0</v>
      </c>
      <c r="F70" s="133">
        <f t="shared" si="10"/>
        <v>0</v>
      </c>
      <c r="G70" s="133">
        <f t="shared" si="11"/>
        <v>0</v>
      </c>
      <c r="H70" s="133">
        <f t="shared" si="12"/>
        <v>0</v>
      </c>
    </row>
    <row r="71" spans="1:8" hidden="1" x14ac:dyDescent="0.2">
      <c r="A71" s="93" t="str">
        <f t="shared" si="5"/>
        <v>Green Gram/ Moong</v>
      </c>
      <c r="B71" s="133">
        <f t="shared" si="6"/>
        <v>0</v>
      </c>
      <c r="C71" s="133">
        <f t="shared" si="7"/>
        <v>0</v>
      </c>
      <c r="D71" s="133">
        <f t="shared" si="8"/>
        <v>0</v>
      </c>
      <c r="E71" s="133">
        <f t="shared" si="9"/>
        <v>0</v>
      </c>
      <c r="F71" s="133">
        <f t="shared" si="10"/>
        <v>0</v>
      </c>
      <c r="G71" s="133">
        <f t="shared" si="11"/>
        <v>0</v>
      </c>
      <c r="H71" s="133">
        <f t="shared" si="12"/>
        <v>0</v>
      </c>
    </row>
    <row r="72" spans="1:8" hidden="1" x14ac:dyDescent="0.2">
      <c r="A72" s="93" t="str">
        <f t="shared" si="5"/>
        <v>Maize</v>
      </c>
      <c r="B72" s="133">
        <f t="shared" si="6"/>
        <v>0</v>
      </c>
      <c r="C72" s="133">
        <f t="shared" si="7"/>
        <v>0</v>
      </c>
      <c r="D72" s="133">
        <f t="shared" si="8"/>
        <v>0</v>
      </c>
      <c r="E72" s="133">
        <f t="shared" si="9"/>
        <v>0</v>
      </c>
      <c r="F72" s="133">
        <f t="shared" si="10"/>
        <v>0</v>
      </c>
      <c r="G72" s="133">
        <f t="shared" si="11"/>
        <v>0</v>
      </c>
      <c r="H72" s="133">
        <f t="shared" si="12"/>
        <v>0</v>
      </c>
    </row>
    <row r="73" spans="1:8" hidden="1" x14ac:dyDescent="0.2">
      <c r="A73" s="93" t="str">
        <f t="shared" si="5"/>
        <v>Black Gram/Udid</v>
      </c>
      <c r="B73" s="133">
        <f t="shared" si="6"/>
        <v>0</v>
      </c>
      <c r="C73" s="133">
        <f t="shared" si="7"/>
        <v>0</v>
      </c>
      <c r="D73" s="133">
        <f t="shared" si="8"/>
        <v>0</v>
      </c>
      <c r="E73" s="133">
        <f t="shared" si="9"/>
        <v>0</v>
      </c>
      <c r="F73" s="133">
        <f t="shared" si="10"/>
        <v>0</v>
      </c>
      <c r="G73" s="133">
        <f t="shared" si="11"/>
        <v>0</v>
      </c>
      <c r="H73" s="133">
        <f t="shared" si="12"/>
        <v>0</v>
      </c>
    </row>
    <row r="74" spans="1:8" hidden="1" x14ac:dyDescent="0.2">
      <c r="A74" s="93" t="str">
        <f t="shared" si="5"/>
        <v>Bajra</v>
      </c>
      <c r="B74" s="133">
        <f t="shared" si="6"/>
        <v>0</v>
      </c>
      <c r="C74" s="133">
        <f t="shared" si="7"/>
        <v>0</v>
      </c>
      <c r="D74" s="133">
        <f t="shared" si="8"/>
        <v>0</v>
      </c>
      <c r="E74" s="133">
        <f t="shared" si="9"/>
        <v>0</v>
      </c>
      <c r="F74" s="133">
        <f t="shared" si="10"/>
        <v>0</v>
      </c>
      <c r="G74" s="133">
        <f t="shared" si="11"/>
        <v>0</v>
      </c>
      <c r="H74" s="133">
        <f t="shared" si="12"/>
        <v>0</v>
      </c>
    </row>
    <row r="75" spans="1:8" hidden="1" x14ac:dyDescent="0.2">
      <c r="A75" s="93" t="str">
        <f t="shared" si="5"/>
        <v>Jawar</v>
      </c>
      <c r="B75" s="133">
        <f t="shared" si="6"/>
        <v>0</v>
      </c>
      <c r="C75" s="133">
        <f t="shared" si="7"/>
        <v>0</v>
      </c>
      <c r="D75" s="133">
        <f t="shared" si="8"/>
        <v>0</v>
      </c>
      <c r="E75" s="133">
        <f t="shared" si="9"/>
        <v>0</v>
      </c>
      <c r="F75" s="133">
        <f t="shared" si="10"/>
        <v>0</v>
      </c>
      <c r="G75" s="133">
        <f t="shared" si="11"/>
        <v>0</v>
      </c>
      <c r="H75" s="133">
        <f t="shared" si="12"/>
        <v>0</v>
      </c>
    </row>
    <row r="76" spans="1:8" hidden="1" x14ac:dyDescent="0.2">
      <c r="A76" s="93" t="str">
        <f t="shared" si="5"/>
        <v>Sunflower</v>
      </c>
      <c r="B76" s="133">
        <f t="shared" si="6"/>
        <v>0</v>
      </c>
      <c r="C76" s="133">
        <f t="shared" si="7"/>
        <v>0</v>
      </c>
      <c r="D76" s="133">
        <f t="shared" si="8"/>
        <v>0</v>
      </c>
      <c r="E76" s="133">
        <f t="shared" si="9"/>
        <v>0</v>
      </c>
      <c r="F76" s="133">
        <f t="shared" si="10"/>
        <v>0</v>
      </c>
      <c r="G76" s="133">
        <f t="shared" si="11"/>
        <v>0</v>
      </c>
      <c r="H76" s="133">
        <f t="shared" si="12"/>
        <v>0</v>
      </c>
    </row>
    <row r="77" spans="1:8" hidden="1" x14ac:dyDescent="0.2">
      <c r="A77" s="93" t="str">
        <f t="shared" si="5"/>
        <v>Wheat</v>
      </c>
      <c r="B77" s="133">
        <f t="shared" si="6"/>
        <v>0</v>
      </c>
      <c r="C77" s="133">
        <f t="shared" si="7"/>
        <v>0</v>
      </c>
      <c r="D77" s="133">
        <f t="shared" si="8"/>
        <v>0</v>
      </c>
      <c r="E77" s="133">
        <f t="shared" si="9"/>
        <v>0</v>
      </c>
      <c r="F77" s="133">
        <f t="shared" si="10"/>
        <v>0</v>
      </c>
      <c r="G77" s="133">
        <f t="shared" si="11"/>
        <v>0</v>
      </c>
      <c r="H77" s="133">
        <f t="shared" si="12"/>
        <v>0</v>
      </c>
    </row>
    <row r="78" spans="1:8" hidden="1" x14ac:dyDescent="0.2">
      <c r="A78" s="93" t="str">
        <f t="shared" si="5"/>
        <v>Bengal Gram/Channa</v>
      </c>
      <c r="B78" s="133">
        <f t="shared" si="6"/>
        <v>0</v>
      </c>
      <c r="C78" s="133">
        <f t="shared" si="7"/>
        <v>0</v>
      </c>
      <c r="D78" s="133">
        <f t="shared" si="8"/>
        <v>0</v>
      </c>
      <c r="E78" s="133">
        <f t="shared" si="9"/>
        <v>0</v>
      </c>
      <c r="F78" s="133">
        <f t="shared" si="10"/>
        <v>0</v>
      </c>
      <c r="G78" s="133">
        <f t="shared" si="11"/>
        <v>0</v>
      </c>
      <c r="H78" s="133">
        <f t="shared" si="12"/>
        <v>0</v>
      </c>
    </row>
    <row r="79" spans="1:8" hidden="1" x14ac:dyDescent="0.2">
      <c r="A79" s="93" t="str">
        <f t="shared" si="5"/>
        <v>Jawar</v>
      </c>
      <c r="B79" s="133">
        <f t="shared" si="6"/>
        <v>0</v>
      </c>
      <c r="C79" s="133">
        <f t="shared" si="7"/>
        <v>0</v>
      </c>
      <c r="D79" s="133">
        <f t="shared" si="8"/>
        <v>0</v>
      </c>
      <c r="E79" s="133">
        <f t="shared" si="9"/>
        <v>0</v>
      </c>
      <c r="F79" s="133">
        <f t="shared" si="10"/>
        <v>0</v>
      </c>
      <c r="G79" s="133">
        <f t="shared" si="11"/>
        <v>0</v>
      </c>
      <c r="H79" s="133">
        <f t="shared" si="12"/>
        <v>0</v>
      </c>
    </row>
    <row r="80" spans="1:8" hidden="1" x14ac:dyDescent="0.2">
      <c r="A80" s="93" t="str">
        <f t="shared" si="5"/>
        <v>Maize</v>
      </c>
      <c r="B80" s="133">
        <f t="shared" si="6"/>
        <v>0</v>
      </c>
      <c r="C80" s="133">
        <f t="shared" si="7"/>
        <v>0</v>
      </c>
      <c r="D80" s="133">
        <f t="shared" si="8"/>
        <v>0</v>
      </c>
      <c r="E80" s="133">
        <f t="shared" si="9"/>
        <v>0</v>
      </c>
      <c r="F80" s="133">
        <f t="shared" si="10"/>
        <v>0</v>
      </c>
      <c r="G80" s="133">
        <f t="shared" si="11"/>
        <v>0</v>
      </c>
      <c r="H80" s="133">
        <f t="shared" si="12"/>
        <v>0</v>
      </c>
    </row>
    <row r="81" spans="1:12" hidden="1" x14ac:dyDescent="0.2">
      <c r="A81" s="93" t="str">
        <f t="shared" si="5"/>
        <v>Safflower</v>
      </c>
      <c r="B81" s="133">
        <f t="shared" si="6"/>
        <v>0</v>
      </c>
      <c r="C81" s="133">
        <f t="shared" si="7"/>
        <v>0</v>
      </c>
      <c r="D81" s="133">
        <f t="shared" si="8"/>
        <v>0</v>
      </c>
      <c r="E81" s="133">
        <f t="shared" si="9"/>
        <v>0</v>
      </c>
      <c r="F81" s="133">
        <f t="shared" si="10"/>
        <v>0</v>
      </c>
      <c r="G81" s="133">
        <f t="shared" si="11"/>
        <v>0</v>
      </c>
      <c r="H81" s="133">
        <f t="shared" si="12"/>
        <v>0</v>
      </c>
    </row>
    <row r="82" spans="1:12" hidden="1" x14ac:dyDescent="0.2">
      <c r="A82" s="93">
        <f t="shared" si="5"/>
        <v>0</v>
      </c>
      <c r="B82" s="133">
        <f t="shared" si="6"/>
        <v>0</v>
      </c>
      <c r="C82" s="133">
        <f t="shared" si="7"/>
        <v>0</v>
      </c>
      <c r="D82" s="133">
        <f t="shared" si="8"/>
        <v>0</v>
      </c>
      <c r="E82" s="133">
        <f t="shared" si="9"/>
        <v>0</v>
      </c>
      <c r="F82" s="133">
        <f t="shared" si="10"/>
        <v>0</v>
      </c>
      <c r="G82" s="133">
        <f t="shared" si="11"/>
        <v>0</v>
      </c>
      <c r="H82" s="133">
        <f t="shared" si="12"/>
        <v>0</v>
      </c>
    </row>
    <row r="83" spans="1:12" hidden="1" x14ac:dyDescent="0.2">
      <c r="A83" s="93">
        <f t="shared" si="5"/>
        <v>0</v>
      </c>
      <c r="B83" s="133">
        <f t="shared" si="6"/>
        <v>0</v>
      </c>
      <c r="C83" s="133">
        <f t="shared" si="7"/>
        <v>0</v>
      </c>
      <c r="D83" s="133">
        <f t="shared" si="8"/>
        <v>0</v>
      </c>
      <c r="E83" s="133">
        <f t="shared" si="9"/>
        <v>0</v>
      </c>
      <c r="F83" s="133">
        <f t="shared" si="10"/>
        <v>0</v>
      </c>
      <c r="G83" s="133">
        <f t="shared" si="11"/>
        <v>0</v>
      </c>
      <c r="H83" s="133">
        <f t="shared" si="12"/>
        <v>0</v>
      </c>
    </row>
    <row r="84" spans="1:12" hidden="1" x14ac:dyDescent="0.2">
      <c r="A84" s="93">
        <f t="shared" si="5"/>
        <v>0</v>
      </c>
      <c r="B84" s="133">
        <f t="shared" si="6"/>
        <v>0</v>
      </c>
      <c r="C84" s="133">
        <f t="shared" ref="C84:H89" si="13">C27*$B$63</f>
        <v>0</v>
      </c>
      <c r="D84" s="133">
        <f t="shared" si="13"/>
        <v>0</v>
      </c>
      <c r="E84" s="133">
        <f t="shared" si="13"/>
        <v>0</v>
      </c>
      <c r="F84" s="133">
        <f t="shared" si="13"/>
        <v>0</v>
      </c>
      <c r="G84" s="133">
        <f t="shared" si="13"/>
        <v>0</v>
      </c>
      <c r="H84" s="133">
        <f t="shared" si="13"/>
        <v>0</v>
      </c>
    </row>
    <row r="85" spans="1:12" hidden="1" x14ac:dyDescent="0.2">
      <c r="A85" s="93" t="str">
        <f t="shared" si="5"/>
        <v>Groundnut</v>
      </c>
      <c r="B85" s="133">
        <f t="shared" si="6"/>
        <v>0</v>
      </c>
      <c r="C85" s="133">
        <f t="shared" si="13"/>
        <v>0</v>
      </c>
      <c r="D85" s="133">
        <f t="shared" si="13"/>
        <v>0</v>
      </c>
      <c r="E85" s="133">
        <f t="shared" si="13"/>
        <v>0</v>
      </c>
      <c r="F85" s="133">
        <f t="shared" si="13"/>
        <v>0</v>
      </c>
      <c r="G85" s="133">
        <f t="shared" si="13"/>
        <v>0</v>
      </c>
      <c r="H85" s="133">
        <f t="shared" si="13"/>
        <v>0</v>
      </c>
    </row>
    <row r="86" spans="1:12" hidden="1" x14ac:dyDescent="0.2">
      <c r="A86" s="93">
        <f t="shared" si="5"/>
        <v>0</v>
      </c>
      <c r="B86" s="133">
        <f t="shared" si="6"/>
        <v>0</v>
      </c>
      <c r="C86" s="133">
        <f t="shared" si="13"/>
        <v>0</v>
      </c>
      <c r="D86" s="133">
        <f t="shared" si="13"/>
        <v>0</v>
      </c>
      <c r="E86" s="133">
        <f t="shared" si="13"/>
        <v>0</v>
      </c>
      <c r="F86" s="133">
        <f t="shared" si="13"/>
        <v>0</v>
      </c>
      <c r="G86" s="133">
        <f t="shared" si="13"/>
        <v>0</v>
      </c>
      <c r="H86" s="133">
        <f t="shared" si="13"/>
        <v>0</v>
      </c>
    </row>
    <row r="87" spans="1:12" hidden="1" x14ac:dyDescent="0.2">
      <c r="A87" s="93">
        <f t="shared" si="5"/>
        <v>0</v>
      </c>
      <c r="B87" s="133">
        <f t="shared" si="6"/>
        <v>0</v>
      </c>
      <c r="C87" s="133">
        <f t="shared" si="13"/>
        <v>0</v>
      </c>
      <c r="D87" s="133">
        <f t="shared" si="13"/>
        <v>0</v>
      </c>
      <c r="E87" s="133">
        <f t="shared" si="13"/>
        <v>0</v>
      </c>
      <c r="F87" s="133">
        <f t="shared" si="13"/>
        <v>0</v>
      </c>
      <c r="G87" s="133">
        <f t="shared" si="13"/>
        <v>0</v>
      </c>
      <c r="H87" s="133">
        <f t="shared" si="13"/>
        <v>0</v>
      </c>
    </row>
    <row r="88" spans="1:12" hidden="1" x14ac:dyDescent="0.2">
      <c r="A88" s="93">
        <f t="shared" si="5"/>
        <v>0</v>
      </c>
      <c r="B88" s="133">
        <f t="shared" si="6"/>
        <v>0</v>
      </c>
      <c r="C88" s="133">
        <f t="shared" si="13"/>
        <v>0</v>
      </c>
      <c r="D88" s="133">
        <f t="shared" si="13"/>
        <v>0</v>
      </c>
      <c r="E88" s="133">
        <f t="shared" si="13"/>
        <v>0</v>
      </c>
      <c r="F88" s="133">
        <f t="shared" si="13"/>
        <v>0</v>
      </c>
      <c r="G88" s="133">
        <f t="shared" si="13"/>
        <v>0</v>
      </c>
      <c r="H88" s="133">
        <f t="shared" si="13"/>
        <v>0</v>
      </c>
    </row>
    <row r="89" spans="1:12" hidden="1" x14ac:dyDescent="0.2">
      <c r="A89" s="93">
        <f t="shared" si="5"/>
        <v>0</v>
      </c>
      <c r="B89" s="133">
        <f t="shared" si="6"/>
        <v>0</v>
      </c>
      <c r="C89" s="133">
        <f t="shared" si="13"/>
        <v>0</v>
      </c>
      <c r="D89" s="133">
        <f t="shared" si="13"/>
        <v>0</v>
      </c>
      <c r="E89" s="133">
        <f t="shared" si="13"/>
        <v>0</v>
      </c>
      <c r="F89" s="133">
        <f t="shared" si="13"/>
        <v>0</v>
      </c>
      <c r="G89" s="133">
        <f t="shared" si="13"/>
        <v>0</v>
      </c>
      <c r="H89" s="133">
        <f t="shared" si="13"/>
        <v>0</v>
      </c>
    </row>
    <row r="90" spans="1:12" hidden="1" x14ac:dyDescent="0.2">
      <c r="A90" s="93"/>
      <c r="B90" s="133"/>
      <c r="C90" s="133"/>
      <c r="D90" s="133"/>
      <c r="E90" s="133"/>
      <c r="F90" s="133"/>
      <c r="G90" s="133"/>
      <c r="H90" s="133"/>
      <c r="J90" s="134"/>
      <c r="K90" s="134"/>
      <c r="L90" s="134"/>
    </row>
    <row r="91" spans="1:12" hidden="1" x14ac:dyDescent="0.2">
      <c r="A91" s="93" t="str">
        <f t="shared" ref="A91:A109" si="14">A34</f>
        <v>Fruit  &amp; Vegetables Crop Production Details</v>
      </c>
      <c r="B91" s="133"/>
      <c r="C91" s="133"/>
      <c r="D91" s="133"/>
      <c r="E91" s="133"/>
      <c r="F91" s="133"/>
      <c r="G91" s="133"/>
      <c r="H91" s="133"/>
      <c r="J91" s="134"/>
      <c r="K91" s="134"/>
      <c r="L91" s="134"/>
    </row>
    <row r="92" spans="1:12" hidden="1" x14ac:dyDescent="0.2">
      <c r="A92" s="93" t="str">
        <f t="shared" si="14"/>
        <v>Onion</v>
      </c>
      <c r="B92" s="133">
        <f t="shared" ref="B92:H101" si="15">B35</f>
        <v>0</v>
      </c>
      <c r="C92" s="133">
        <f t="shared" si="15"/>
        <v>0</v>
      </c>
      <c r="D92" s="133">
        <f t="shared" si="15"/>
        <v>0</v>
      </c>
      <c r="E92" s="133">
        <f t="shared" si="15"/>
        <v>0</v>
      </c>
      <c r="F92" s="133">
        <f t="shared" si="15"/>
        <v>0</v>
      </c>
      <c r="G92" s="133">
        <f t="shared" si="15"/>
        <v>0</v>
      </c>
      <c r="H92" s="133">
        <f t="shared" si="15"/>
        <v>0</v>
      </c>
      <c r="J92" s="134"/>
      <c r="K92" s="134"/>
      <c r="L92" s="134"/>
    </row>
    <row r="93" spans="1:12" hidden="1" x14ac:dyDescent="0.2">
      <c r="A93" s="93" t="str">
        <f t="shared" si="14"/>
        <v>Tomato</v>
      </c>
      <c r="B93" s="133">
        <f t="shared" si="15"/>
        <v>0</v>
      </c>
      <c r="C93" s="133">
        <f t="shared" si="15"/>
        <v>0</v>
      </c>
      <c r="D93" s="133">
        <f t="shared" si="15"/>
        <v>0</v>
      </c>
      <c r="E93" s="133">
        <f t="shared" si="15"/>
        <v>0</v>
      </c>
      <c r="F93" s="133">
        <f t="shared" si="15"/>
        <v>0</v>
      </c>
      <c r="G93" s="133">
        <f t="shared" si="15"/>
        <v>0</v>
      </c>
      <c r="H93" s="133">
        <f t="shared" si="15"/>
        <v>0</v>
      </c>
      <c r="J93" s="134"/>
      <c r="K93" s="134"/>
      <c r="L93" s="134"/>
    </row>
    <row r="94" spans="1:12" hidden="1" x14ac:dyDescent="0.2">
      <c r="A94" s="93" t="str">
        <f t="shared" si="14"/>
        <v>Okra</v>
      </c>
      <c r="B94" s="133">
        <f t="shared" si="15"/>
        <v>0</v>
      </c>
      <c r="C94" s="133">
        <f t="shared" si="15"/>
        <v>0</v>
      </c>
      <c r="D94" s="133">
        <f t="shared" si="15"/>
        <v>0</v>
      </c>
      <c r="E94" s="133">
        <f t="shared" si="15"/>
        <v>0</v>
      </c>
      <c r="F94" s="133">
        <f t="shared" si="15"/>
        <v>0</v>
      </c>
      <c r="G94" s="133">
        <f t="shared" si="15"/>
        <v>0</v>
      </c>
      <c r="H94" s="133">
        <f t="shared" si="15"/>
        <v>0</v>
      </c>
      <c r="J94" s="134"/>
      <c r="K94" s="134"/>
      <c r="L94" s="134"/>
    </row>
    <row r="95" spans="1:12" hidden="1" x14ac:dyDescent="0.2">
      <c r="A95" s="93" t="str">
        <f t="shared" si="14"/>
        <v>Chilli</v>
      </c>
      <c r="B95" s="133">
        <f t="shared" si="15"/>
        <v>0</v>
      </c>
      <c r="C95" s="133">
        <f t="shared" si="15"/>
        <v>0</v>
      </c>
      <c r="D95" s="133">
        <f t="shared" si="15"/>
        <v>0</v>
      </c>
      <c r="E95" s="133">
        <f t="shared" si="15"/>
        <v>0</v>
      </c>
      <c r="F95" s="133">
        <f t="shared" si="15"/>
        <v>0</v>
      </c>
      <c r="G95" s="133">
        <f t="shared" si="15"/>
        <v>0</v>
      </c>
      <c r="H95" s="133">
        <f t="shared" si="15"/>
        <v>0</v>
      </c>
      <c r="J95" s="134"/>
      <c r="K95" s="134"/>
      <c r="L95" s="134"/>
    </row>
    <row r="96" spans="1:12" hidden="1" x14ac:dyDescent="0.2">
      <c r="A96" s="93" t="str">
        <f t="shared" si="14"/>
        <v>Potato</v>
      </c>
      <c r="B96" s="133">
        <f t="shared" si="15"/>
        <v>0</v>
      </c>
      <c r="C96" s="133">
        <f t="shared" si="15"/>
        <v>0</v>
      </c>
      <c r="D96" s="133">
        <f t="shared" si="15"/>
        <v>0</v>
      </c>
      <c r="E96" s="133">
        <f t="shared" si="15"/>
        <v>0</v>
      </c>
      <c r="F96" s="133">
        <f t="shared" si="15"/>
        <v>0</v>
      </c>
      <c r="G96" s="133">
        <f t="shared" si="15"/>
        <v>0</v>
      </c>
      <c r="H96" s="133">
        <f t="shared" si="15"/>
        <v>0</v>
      </c>
      <c r="J96" s="134"/>
      <c r="K96" s="134"/>
      <c r="L96" s="134"/>
    </row>
    <row r="97" spans="1:12" hidden="1" x14ac:dyDescent="0.2">
      <c r="A97" s="93">
        <f t="shared" si="14"/>
        <v>0</v>
      </c>
      <c r="B97" s="133">
        <f t="shared" si="15"/>
        <v>0</v>
      </c>
      <c r="C97" s="133">
        <f t="shared" si="15"/>
        <v>0</v>
      </c>
      <c r="D97" s="133">
        <f t="shared" si="15"/>
        <v>0</v>
      </c>
      <c r="E97" s="133">
        <f t="shared" si="15"/>
        <v>0</v>
      </c>
      <c r="F97" s="133">
        <f t="shared" si="15"/>
        <v>0</v>
      </c>
      <c r="G97" s="133">
        <f t="shared" si="15"/>
        <v>0</v>
      </c>
      <c r="H97" s="133">
        <f t="shared" si="15"/>
        <v>0</v>
      </c>
      <c r="J97" s="134"/>
      <c r="K97" s="134"/>
      <c r="L97" s="134"/>
    </row>
    <row r="98" spans="1:12" hidden="1" x14ac:dyDescent="0.2">
      <c r="A98" s="93">
        <f t="shared" si="14"/>
        <v>0</v>
      </c>
      <c r="B98" s="133">
        <f t="shared" si="15"/>
        <v>0</v>
      </c>
      <c r="C98" s="133">
        <f t="shared" si="15"/>
        <v>0</v>
      </c>
      <c r="D98" s="133">
        <f t="shared" si="15"/>
        <v>0</v>
      </c>
      <c r="E98" s="133">
        <f t="shared" si="15"/>
        <v>0</v>
      </c>
      <c r="F98" s="133">
        <f t="shared" si="15"/>
        <v>0</v>
      </c>
      <c r="G98" s="133">
        <f t="shared" si="15"/>
        <v>0</v>
      </c>
      <c r="H98" s="133">
        <f t="shared" si="15"/>
        <v>0</v>
      </c>
      <c r="J98" s="134"/>
      <c r="K98" s="134"/>
      <c r="L98" s="134"/>
    </row>
    <row r="99" spans="1:12" hidden="1" x14ac:dyDescent="0.2">
      <c r="A99" s="93">
        <f t="shared" si="14"/>
        <v>0</v>
      </c>
      <c r="B99" s="133">
        <f t="shared" si="15"/>
        <v>0</v>
      </c>
      <c r="C99" s="133">
        <f t="shared" si="15"/>
        <v>0</v>
      </c>
      <c r="D99" s="133">
        <f t="shared" si="15"/>
        <v>0</v>
      </c>
      <c r="E99" s="133">
        <f t="shared" si="15"/>
        <v>0</v>
      </c>
      <c r="F99" s="133">
        <f t="shared" si="15"/>
        <v>0</v>
      </c>
      <c r="G99" s="133">
        <f t="shared" si="15"/>
        <v>0</v>
      </c>
      <c r="H99" s="133">
        <f t="shared" si="15"/>
        <v>0</v>
      </c>
      <c r="J99" s="134"/>
      <c r="K99" s="134"/>
      <c r="L99" s="134"/>
    </row>
    <row r="100" spans="1:12" hidden="1" x14ac:dyDescent="0.2">
      <c r="A100" s="93">
        <f t="shared" si="14"/>
        <v>0</v>
      </c>
      <c r="B100" s="133">
        <f t="shared" si="15"/>
        <v>0</v>
      </c>
      <c r="C100" s="133">
        <f t="shared" si="15"/>
        <v>0</v>
      </c>
      <c r="D100" s="133">
        <f t="shared" si="15"/>
        <v>0</v>
      </c>
      <c r="E100" s="133">
        <f t="shared" si="15"/>
        <v>0</v>
      </c>
      <c r="F100" s="133">
        <f t="shared" si="15"/>
        <v>0</v>
      </c>
      <c r="G100" s="133">
        <f t="shared" si="15"/>
        <v>0</v>
      </c>
      <c r="H100" s="133">
        <f t="shared" si="15"/>
        <v>0</v>
      </c>
      <c r="J100" s="134"/>
      <c r="K100" s="134"/>
      <c r="L100" s="134"/>
    </row>
    <row r="101" spans="1:12" hidden="1" x14ac:dyDescent="0.2">
      <c r="A101" s="93" t="str">
        <f t="shared" si="14"/>
        <v>Onion</v>
      </c>
      <c r="B101" s="133">
        <f t="shared" si="15"/>
        <v>0</v>
      </c>
      <c r="C101" s="133">
        <f t="shared" si="15"/>
        <v>0</v>
      </c>
      <c r="D101" s="133">
        <f t="shared" si="15"/>
        <v>0</v>
      </c>
      <c r="E101" s="133">
        <f t="shared" si="15"/>
        <v>0</v>
      </c>
      <c r="F101" s="133">
        <f t="shared" si="15"/>
        <v>0</v>
      </c>
      <c r="G101" s="133">
        <f t="shared" si="15"/>
        <v>0</v>
      </c>
      <c r="H101" s="133">
        <f t="shared" si="15"/>
        <v>0</v>
      </c>
      <c r="J101" s="134"/>
      <c r="K101" s="134"/>
      <c r="L101" s="134"/>
    </row>
    <row r="102" spans="1:12" hidden="1" x14ac:dyDescent="0.2">
      <c r="A102" s="93" t="str">
        <f t="shared" si="14"/>
        <v>Tomato</v>
      </c>
      <c r="B102" s="133">
        <f t="shared" ref="B102:H109" si="16">B45</f>
        <v>0</v>
      </c>
      <c r="C102" s="133">
        <f t="shared" si="16"/>
        <v>0</v>
      </c>
      <c r="D102" s="133">
        <f t="shared" si="16"/>
        <v>0</v>
      </c>
      <c r="E102" s="133">
        <f t="shared" si="16"/>
        <v>0</v>
      </c>
      <c r="F102" s="133">
        <f t="shared" si="16"/>
        <v>0</v>
      </c>
      <c r="G102" s="133">
        <f t="shared" si="16"/>
        <v>0</v>
      </c>
      <c r="H102" s="133">
        <f t="shared" si="16"/>
        <v>0</v>
      </c>
      <c r="J102" s="134"/>
      <c r="K102" s="134"/>
      <c r="L102" s="134"/>
    </row>
    <row r="103" spans="1:12" hidden="1" x14ac:dyDescent="0.2">
      <c r="A103" s="93" t="str">
        <f t="shared" si="14"/>
        <v>Okra</v>
      </c>
      <c r="B103" s="133">
        <f t="shared" si="16"/>
        <v>0</v>
      </c>
      <c r="C103" s="133">
        <f t="shared" si="16"/>
        <v>0</v>
      </c>
      <c r="D103" s="133">
        <f t="shared" si="16"/>
        <v>0</v>
      </c>
      <c r="E103" s="133">
        <f t="shared" si="16"/>
        <v>0</v>
      </c>
      <c r="F103" s="133">
        <f t="shared" si="16"/>
        <v>0</v>
      </c>
      <c r="G103" s="133">
        <f t="shared" si="16"/>
        <v>0</v>
      </c>
      <c r="H103" s="133">
        <f t="shared" si="16"/>
        <v>0</v>
      </c>
      <c r="J103" s="134"/>
      <c r="K103" s="134"/>
      <c r="L103" s="134"/>
    </row>
    <row r="104" spans="1:12" hidden="1" x14ac:dyDescent="0.2">
      <c r="A104" s="93" t="str">
        <f t="shared" si="14"/>
        <v>Chilli</v>
      </c>
      <c r="B104" s="133">
        <f t="shared" si="16"/>
        <v>0</v>
      </c>
      <c r="C104" s="133">
        <f t="shared" si="16"/>
        <v>0</v>
      </c>
      <c r="D104" s="133">
        <f t="shared" si="16"/>
        <v>0</v>
      </c>
      <c r="E104" s="133">
        <f t="shared" si="16"/>
        <v>0</v>
      </c>
      <c r="F104" s="133">
        <f t="shared" si="16"/>
        <v>0</v>
      </c>
      <c r="G104" s="133">
        <f t="shared" si="16"/>
        <v>0</v>
      </c>
      <c r="H104" s="133">
        <f t="shared" si="16"/>
        <v>0</v>
      </c>
      <c r="J104" s="134"/>
      <c r="K104" s="134"/>
      <c r="L104" s="134"/>
    </row>
    <row r="105" spans="1:12" hidden="1" x14ac:dyDescent="0.2">
      <c r="A105" s="93" t="str">
        <f t="shared" si="14"/>
        <v>Brinjal</v>
      </c>
      <c r="B105" s="133">
        <f t="shared" si="16"/>
        <v>0</v>
      </c>
      <c r="C105" s="133">
        <f t="shared" si="16"/>
        <v>0</v>
      </c>
      <c r="D105" s="133">
        <f t="shared" si="16"/>
        <v>0</v>
      </c>
      <c r="E105" s="133">
        <f t="shared" si="16"/>
        <v>0</v>
      </c>
      <c r="F105" s="133">
        <f t="shared" si="16"/>
        <v>0</v>
      </c>
      <c r="G105" s="133">
        <f t="shared" si="16"/>
        <v>0</v>
      </c>
      <c r="H105" s="133">
        <f t="shared" si="16"/>
        <v>0</v>
      </c>
      <c r="J105" s="134"/>
      <c r="K105" s="134"/>
      <c r="L105" s="134"/>
    </row>
    <row r="106" spans="1:12" hidden="1" x14ac:dyDescent="0.2">
      <c r="A106" s="93">
        <f t="shared" si="14"/>
        <v>0</v>
      </c>
      <c r="B106" s="133">
        <f t="shared" si="16"/>
        <v>0</v>
      </c>
      <c r="C106" s="133">
        <f t="shared" si="16"/>
        <v>0</v>
      </c>
      <c r="D106" s="133">
        <f t="shared" si="16"/>
        <v>0</v>
      </c>
      <c r="E106" s="133">
        <f t="shared" si="16"/>
        <v>0</v>
      </c>
      <c r="F106" s="133">
        <f t="shared" si="16"/>
        <v>0</v>
      </c>
      <c r="G106" s="133">
        <f t="shared" si="16"/>
        <v>0</v>
      </c>
      <c r="H106" s="133">
        <f t="shared" si="16"/>
        <v>0</v>
      </c>
      <c r="J106" s="134"/>
      <c r="K106" s="134"/>
      <c r="L106" s="134"/>
    </row>
    <row r="107" spans="1:12" hidden="1" x14ac:dyDescent="0.2">
      <c r="A107" s="93">
        <f t="shared" si="14"/>
        <v>0</v>
      </c>
      <c r="B107" s="133">
        <f t="shared" si="16"/>
        <v>0</v>
      </c>
      <c r="C107" s="133">
        <f t="shared" si="16"/>
        <v>0</v>
      </c>
      <c r="D107" s="133">
        <f t="shared" si="16"/>
        <v>0</v>
      </c>
      <c r="E107" s="133">
        <f t="shared" si="16"/>
        <v>0</v>
      </c>
      <c r="F107" s="133">
        <f t="shared" si="16"/>
        <v>0</v>
      </c>
      <c r="G107" s="133">
        <f t="shared" si="16"/>
        <v>0</v>
      </c>
      <c r="H107" s="133">
        <f t="shared" si="16"/>
        <v>0</v>
      </c>
      <c r="J107" s="134"/>
      <c r="K107" s="134"/>
      <c r="L107" s="134"/>
    </row>
    <row r="108" spans="1:12" hidden="1" x14ac:dyDescent="0.2">
      <c r="A108" s="93">
        <f t="shared" si="14"/>
        <v>0</v>
      </c>
      <c r="B108" s="133">
        <f t="shared" si="16"/>
        <v>0</v>
      </c>
      <c r="C108" s="133">
        <f t="shared" si="16"/>
        <v>0</v>
      </c>
      <c r="D108" s="133">
        <f t="shared" si="16"/>
        <v>0</v>
      </c>
      <c r="E108" s="133">
        <f t="shared" si="16"/>
        <v>0</v>
      </c>
      <c r="F108" s="133">
        <f t="shared" si="16"/>
        <v>0</v>
      </c>
      <c r="G108" s="133">
        <f t="shared" si="16"/>
        <v>0</v>
      </c>
      <c r="H108" s="133">
        <f t="shared" si="16"/>
        <v>0</v>
      </c>
      <c r="J108" s="134"/>
      <c r="K108" s="134"/>
      <c r="L108" s="134"/>
    </row>
    <row r="109" spans="1:12" hidden="1" x14ac:dyDescent="0.2">
      <c r="A109" s="93">
        <f t="shared" si="14"/>
        <v>0</v>
      </c>
      <c r="B109" s="133">
        <f t="shared" si="16"/>
        <v>0</v>
      </c>
      <c r="C109" s="133">
        <f t="shared" si="16"/>
        <v>0</v>
      </c>
      <c r="D109" s="133">
        <f t="shared" si="16"/>
        <v>0</v>
      </c>
      <c r="E109" s="133">
        <f t="shared" si="16"/>
        <v>0</v>
      </c>
      <c r="F109" s="133">
        <f t="shared" si="16"/>
        <v>0</v>
      </c>
      <c r="G109" s="133">
        <f t="shared" si="16"/>
        <v>0</v>
      </c>
      <c r="H109" s="133">
        <f t="shared" si="16"/>
        <v>0</v>
      </c>
      <c r="J109" s="134"/>
      <c r="K109" s="134"/>
      <c r="L109" s="134"/>
    </row>
    <row r="110" spans="1:12" hidden="1" x14ac:dyDescent="0.2">
      <c r="A110" s="93">
        <f t="shared" ref="A110:A113" si="17">A53</f>
        <v>0</v>
      </c>
      <c r="B110" s="133"/>
      <c r="C110" s="133"/>
      <c r="D110" s="133"/>
      <c r="E110" s="133"/>
      <c r="F110" s="133"/>
      <c r="G110" s="133"/>
      <c r="H110" s="133"/>
      <c r="J110" s="134"/>
      <c r="K110" s="134"/>
      <c r="L110" s="134"/>
    </row>
    <row r="111" spans="1:12" hidden="1" x14ac:dyDescent="0.2">
      <c r="A111" s="93">
        <f t="shared" si="17"/>
        <v>0</v>
      </c>
      <c r="B111" s="133"/>
      <c r="C111" s="133"/>
      <c r="D111" s="133"/>
      <c r="E111" s="133"/>
      <c r="F111" s="133"/>
      <c r="G111" s="133"/>
      <c r="H111" s="133"/>
      <c r="J111" s="134"/>
      <c r="K111" s="134"/>
      <c r="L111" s="134"/>
    </row>
    <row r="112" spans="1:12" hidden="1" x14ac:dyDescent="0.2">
      <c r="A112" s="93">
        <f t="shared" si="17"/>
        <v>0</v>
      </c>
      <c r="B112" s="133"/>
      <c r="C112" s="133"/>
      <c r="D112" s="133"/>
      <c r="E112" s="133"/>
      <c r="F112" s="133"/>
      <c r="G112" s="133"/>
      <c r="H112" s="133"/>
      <c r="J112" s="134"/>
      <c r="K112" s="134"/>
      <c r="L112" s="134"/>
    </row>
    <row r="113" spans="1:12" hidden="1" x14ac:dyDescent="0.2">
      <c r="A113" s="93" t="str">
        <f t="shared" si="17"/>
        <v>Pomegranate</v>
      </c>
      <c r="B113" s="133">
        <f t="shared" ref="B113:H116" si="18">B56</f>
        <v>0</v>
      </c>
      <c r="C113" s="133">
        <f t="shared" si="18"/>
        <v>0</v>
      </c>
      <c r="D113" s="133">
        <f t="shared" si="18"/>
        <v>0</v>
      </c>
      <c r="E113" s="133">
        <f t="shared" si="18"/>
        <v>0</v>
      </c>
      <c r="F113" s="133">
        <f t="shared" si="18"/>
        <v>0</v>
      </c>
      <c r="G113" s="133">
        <f t="shared" si="18"/>
        <v>0</v>
      </c>
      <c r="H113" s="133">
        <f t="shared" si="18"/>
        <v>0</v>
      </c>
      <c r="J113" s="134"/>
      <c r="K113" s="134"/>
      <c r="L113" s="134"/>
    </row>
    <row r="114" spans="1:12" hidden="1" x14ac:dyDescent="0.2">
      <c r="A114" s="93" t="str">
        <f>A57</f>
        <v>Custard Apple</v>
      </c>
      <c r="B114" s="133">
        <f t="shared" si="18"/>
        <v>0</v>
      </c>
      <c r="C114" s="133">
        <f t="shared" si="18"/>
        <v>0</v>
      </c>
      <c r="D114" s="133">
        <f t="shared" si="18"/>
        <v>0</v>
      </c>
      <c r="E114" s="133">
        <f t="shared" si="18"/>
        <v>0</v>
      </c>
      <c r="F114" s="133">
        <f t="shared" si="18"/>
        <v>0</v>
      </c>
      <c r="G114" s="133">
        <f t="shared" si="18"/>
        <v>0</v>
      </c>
      <c r="H114" s="133">
        <f t="shared" si="18"/>
        <v>0</v>
      </c>
      <c r="J114" s="134"/>
      <c r="K114" s="134"/>
      <c r="L114" s="134"/>
    </row>
    <row r="115" spans="1:12" hidden="1" x14ac:dyDescent="0.2">
      <c r="A115" s="93" t="str">
        <f>A58</f>
        <v>Guava</v>
      </c>
      <c r="B115" s="133">
        <f t="shared" si="18"/>
        <v>0</v>
      </c>
      <c r="C115" s="133">
        <f t="shared" si="18"/>
        <v>0</v>
      </c>
      <c r="D115" s="133">
        <f t="shared" si="18"/>
        <v>0</v>
      </c>
      <c r="E115" s="133">
        <f t="shared" si="18"/>
        <v>0</v>
      </c>
      <c r="F115" s="133">
        <f t="shared" si="18"/>
        <v>0</v>
      </c>
      <c r="G115" s="133">
        <f t="shared" si="18"/>
        <v>0</v>
      </c>
      <c r="H115" s="133">
        <f t="shared" si="18"/>
        <v>0</v>
      </c>
      <c r="J115" s="134"/>
      <c r="K115" s="134"/>
      <c r="L115" s="134"/>
    </row>
    <row r="116" spans="1:12" hidden="1" x14ac:dyDescent="0.2">
      <c r="A116" s="93" t="str">
        <f>A59</f>
        <v>Citrus</v>
      </c>
      <c r="B116" s="133">
        <f t="shared" si="18"/>
        <v>0</v>
      </c>
      <c r="C116" s="133">
        <f t="shared" si="18"/>
        <v>0</v>
      </c>
      <c r="D116" s="133">
        <f t="shared" si="18"/>
        <v>0</v>
      </c>
      <c r="E116" s="133">
        <f t="shared" si="18"/>
        <v>0</v>
      </c>
      <c r="F116" s="133">
        <f t="shared" si="18"/>
        <v>0</v>
      </c>
      <c r="G116" s="133">
        <f t="shared" si="18"/>
        <v>0</v>
      </c>
      <c r="H116" s="133">
        <f t="shared" si="18"/>
        <v>0</v>
      </c>
      <c r="J116" s="134"/>
      <c r="K116" s="134"/>
      <c r="L116" s="134"/>
    </row>
    <row r="117" spans="1:12" hidden="1" x14ac:dyDescent="0.2">
      <c r="A117" s="93"/>
      <c r="B117" s="133"/>
      <c r="C117" s="133"/>
      <c r="D117" s="133"/>
      <c r="E117" s="133"/>
      <c r="F117" s="133"/>
      <c r="G117" s="133"/>
      <c r="H117" s="133"/>
      <c r="J117" s="134"/>
      <c r="K117" s="134"/>
      <c r="L117" s="134"/>
    </row>
    <row r="118" spans="1:12" hidden="1" x14ac:dyDescent="0.2">
      <c r="A118" s="93"/>
      <c r="B118" s="133"/>
      <c r="C118" s="133"/>
      <c r="D118" s="133"/>
      <c r="E118" s="133"/>
      <c r="F118" s="133"/>
      <c r="G118" s="133"/>
      <c r="H118" s="133"/>
      <c r="J118" s="134"/>
      <c r="K118" s="134"/>
      <c r="L118" s="134"/>
    </row>
    <row r="119" spans="1:12" hidden="1" x14ac:dyDescent="0.2">
      <c r="A119" s="98" t="s">
        <v>139</v>
      </c>
      <c r="B119" s="93"/>
      <c r="C119" s="93"/>
      <c r="D119" s="93"/>
      <c r="E119" s="93"/>
      <c r="F119" s="93"/>
      <c r="G119" s="93"/>
      <c r="H119" s="93"/>
    </row>
    <row r="120" spans="1:12" hidden="1" x14ac:dyDescent="0.2">
      <c r="A120" s="93" t="str">
        <f t="shared" ref="A120:A141" si="19">A68</f>
        <v>Soybean</v>
      </c>
      <c r="B120" s="128">
        <f t="shared" ref="B120:H129" si="20">B68-(B68*$G$6)</f>
        <v>0</v>
      </c>
      <c r="C120" s="128">
        <f t="shared" si="20"/>
        <v>0</v>
      </c>
      <c r="D120" s="128">
        <f t="shared" si="20"/>
        <v>0</v>
      </c>
      <c r="E120" s="128">
        <f t="shared" si="20"/>
        <v>0</v>
      </c>
      <c r="F120" s="128">
        <f t="shared" si="20"/>
        <v>0</v>
      </c>
      <c r="G120" s="128">
        <f t="shared" si="20"/>
        <v>0</v>
      </c>
      <c r="H120" s="128">
        <f t="shared" si="20"/>
        <v>0</v>
      </c>
    </row>
    <row r="121" spans="1:12" hidden="1" x14ac:dyDescent="0.2">
      <c r="A121" s="93" t="str">
        <f t="shared" si="19"/>
        <v>Red Gram/Tur</v>
      </c>
      <c r="B121" s="128">
        <f t="shared" si="20"/>
        <v>0</v>
      </c>
      <c r="C121" s="128">
        <f t="shared" si="20"/>
        <v>0</v>
      </c>
      <c r="D121" s="128">
        <f t="shared" si="20"/>
        <v>0</v>
      </c>
      <c r="E121" s="128">
        <f t="shared" si="20"/>
        <v>0</v>
      </c>
      <c r="F121" s="128">
        <f t="shared" si="20"/>
        <v>0</v>
      </c>
      <c r="G121" s="128">
        <f t="shared" si="20"/>
        <v>0</v>
      </c>
      <c r="H121" s="128">
        <f t="shared" si="20"/>
        <v>0</v>
      </c>
    </row>
    <row r="122" spans="1:12" hidden="1" x14ac:dyDescent="0.2">
      <c r="A122" s="93" t="str">
        <f t="shared" si="19"/>
        <v>Paddy/Rice</v>
      </c>
      <c r="B122" s="128">
        <f t="shared" si="20"/>
        <v>0</v>
      </c>
      <c r="C122" s="128">
        <f t="shared" si="20"/>
        <v>0</v>
      </c>
      <c r="D122" s="128">
        <f t="shared" si="20"/>
        <v>0</v>
      </c>
      <c r="E122" s="128">
        <f t="shared" si="20"/>
        <v>0</v>
      </c>
      <c r="F122" s="128">
        <f t="shared" si="20"/>
        <v>0</v>
      </c>
      <c r="G122" s="128">
        <f t="shared" si="20"/>
        <v>0</v>
      </c>
      <c r="H122" s="128">
        <f t="shared" si="20"/>
        <v>0</v>
      </c>
    </row>
    <row r="123" spans="1:12" hidden="1" x14ac:dyDescent="0.2">
      <c r="A123" s="93" t="str">
        <f t="shared" si="19"/>
        <v>Green Gram/ Moong</v>
      </c>
      <c r="B123" s="128">
        <f t="shared" si="20"/>
        <v>0</v>
      </c>
      <c r="C123" s="128">
        <f t="shared" si="20"/>
        <v>0</v>
      </c>
      <c r="D123" s="128">
        <f t="shared" si="20"/>
        <v>0</v>
      </c>
      <c r="E123" s="128">
        <f t="shared" si="20"/>
        <v>0</v>
      </c>
      <c r="F123" s="128">
        <f t="shared" si="20"/>
        <v>0</v>
      </c>
      <c r="G123" s="128">
        <f t="shared" si="20"/>
        <v>0</v>
      </c>
      <c r="H123" s="128">
        <f t="shared" si="20"/>
        <v>0</v>
      </c>
    </row>
    <row r="124" spans="1:12" hidden="1" x14ac:dyDescent="0.2">
      <c r="A124" s="93" t="str">
        <f t="shared" si="19"/>
        <v>Maize</v>
      </c>
      <c r="B124" s="128">
        <f t="shared" si="20"/>
        <v>0</v>
      </c>
      <c r="C124" s="128">
        <f t="shared" si="20"/>
        <v>0</v>
      </c>
      <c r="D124" s="128">
        <f t="shared" si="20"/>
        <v>0</v>
      </c>
      <c r="E124" s="128">
        <f t="shared" si="20"/>
        <v>0</v>
      </c>
      <c r="F124" s="128">
        <f t="shared" si="20"/>
        <v>0</v>
      </c>
      <c r="G124" s="128">
        <f t="shared" si="20"/>
        <v>0</v>
      </c>
      <c r="H124" s="128">
        <f t="shared" si="20"/>
        <v>0</v>
      </c>
    </row>
    <row r="125" spans="1:12" hidden="1" x14ac:dyDescent="0.2">
      <c r="A125" s="93" t="str">
        <f t="shared" si="19"/>
        <v>Black Gram/Udid</v>
      </c>
      <c r="B125" s="128">
        <f t="shared" si="20"/>
        <v>0</v>
      </c>
      <c r="C125" s="128">
        <f t="shared" si="20"/>
        <v>0</v>
      </c>
      <c r="D125" s="128">
        <f t="shared" si="20"/>
        <v>0</v>
      </c>
      <c r="E125" s="128">
        <f t="shared" si="20"/>
        <v>0</v>
      </c>
      <c r="F125" s="128">
        <f t="shared" si="20"/>
        <v>0</v>
      </c>
      <c r="G125" s="128">
        <f t="shared" si="20"/>
        <v>0</v>
      </c>
      <c r="H125" s="128">
        <f t="shared" si="20"/>
        <v>0</v>
      </c>
    </row>
    <row r="126" spans="1:12" hidden="1" x14ac:dyDescent="0.2">
      <c r="A126" s="93" t="str">
        <f t="shared" si="19"/>
        <v>Bajra</v>
      </c>
      <c r="B126" s="128">
        <f t="shared" si="20"/>
        <v>0</v>
      </c>
      <c r="C126" s="128">
        <f t="shared" si="20"/>
        <v>0</v>
      </c>
      <c r="D126" s="128">
        <f t="shared" si="20"/>
        <v>0</v>
      </c>
      <c r="E126" s="128">
        <f t="shared" si="20"/>
        <v>0</v>
      </c>
      <c r="F126" s="128">
        <f t="shared" si="20"/>
        <v>0</v>
      </c>
      <c r="G126" s="128">
        <f t="shared" si="20"/>
        <v>0</v>
      </c>
      <c r="H126" s="128">
        <f t="shared" si="20"/>
        <v>0</v>
      </c>
    </row>
    <row r="127" spans="1:12" hidden="1" x14ac:dyDescent="0.2">
      <c r="A127" s="93" t="str">
        <f t="shared" si="19"/>
        <v>Jawar</v>
      </c>
      <c r="B127" s="128">
        <f t="shared" si="20"/>
        <v>0</v>
      </c>
      <c r="C127" s="128">
        <f t="shared" si="20"/>
        <v>0</v>
      </c>
      <c r="D127" s="128">
        <f t="shared" si="20"/>
        <v>0</v>
      </c>
      <c r="E127" s="128">
        <f t="shared" si="20"/>
        <v>0</v>
      </c>
      <c r="F127" s="128">
        <f t="shared" si="20"/>
        <v>0</v>
      </c>
      <c r="G127" s="128">
        <f t="shared" si="20"/>
        <v>0</v>
      </c>
      <c r="H127" s="128">
        <f t="shared" si="20"/>
        <v>0</v>
      </c>
    </row>
    <row r="128" spans="1:12" hidden="1" x14ac:dyDescent="0.2">
      <c r="A128" s="93" t="str">
        <f t="shared" si="19"/>
        <v>Sunflower</v>
      </c>
      <c r="B128" s="128">
        <f t="shared" si="20"/>
        <v>0</v>
      </c>
      <c r="C128" s="128">
        <f t="shared" si="20"/>
        <v>0</v>
      </c>
      <c r="D128" s="128">
        <f t="shared" si="20"/>
        <v>0</v>
      </c>
      <c r="E128" s="128">
        <f t="shared" si="20"/>
        <v>0</v>
      </c>
      <c r="F128" s="128">
        <f t="shared" si="20"/>
        <v>0</v>
      </c>
      <c r="G128" s="128">
        <f t="shared" si="20"/>
        <v>0</v>
      </c>
      <c r="H128" s="128">
        <f t="shared" si="20"/>
        <v>0</v>
      </c>
    </row>
    <row r="129" spans="1:8" hidden="1" x14ac:dyDescent="0.2">
      <c r="A129" s="93" t="str">
        <f t="shared" si="19"/>
        <v>Wheat</v>
      </c>
      <c r="B129" s="128">
        <f t="shared" si="20"/>
        <v>0</v>
      </c>
      <c r="C129" s="128">
        <f t="shared" si="20"/>
        <v>0</v>
      </c>
      <c r="D129" s="128">
        <f t="shared" si="20"/>
        <v>0</v>
      </c>
      <c r="E129" s="128">
        <f t="shared" si="20"/>
        <v>0</v>
      </c>
      <c r="F129" s="128">
        <f t="shared" si="20"/>
        <v>0</v>
      </c>
      <c r="G129" s="128">
        <f t="shared" si="20"/>
        <v>0</v>
      </c>
      <c r="H129" s="128">
        <f t="shared" si="20"/>
        <v>0</v>
      </c>
    </row>
    <row r="130" spans="1:8" hidden="1" x14ac:dyDescent="0.2">
      <c r="A130" s="93" t="str">
        <f t="shared" si="19"/>
        <v>Bengal Gram/Channa</v>
      </c>
      <c r="B130" s="128">
        <f t="shared" ref="B130:H139" si="21">B78-(B78*$G$6)</f>
        <v>0</v>
      </c>
      <c r="C130" s="128">
        <f t="shared" si="21"/>
        <v>0</v>
      </c>
      <c r="D130" s="128">
        <f t="shared" si="21"/>
        <v>0</v>
      </c>
      <c r="E130" s="128">
        <f t="shared" si="21"/>
        <v>0</v>
      </c>
      <c r="F130" s="128">
        <f t="shared" si="21"/>
        <v>0</v>
      </c>
      <c r="G130" s="128">
        <f t="shared" si="21"/>
        <v>0</v>
      </c>
      <c r="H130" s="128">
        <f t="shared" si="21"/>
        <v>0</v>
      </c>
    </row>
    <row r="131" spans="1:8" hidden="1" x14ac:dyDescent="0.2">
      <c r="A131" s="93" t="str">
        <f t="shared" si="19"/>
        <v>Jawar</v>
      </c>
      <c r="B131" s="128">
        <f t="shared" si="21"/>
        <v>0</v>
      </c>
      <c r="C131" s="128">
        <f t="shared" si="21"/>
        <v>0</v>
      </c>
      <c r="D131" s="128">
        <f t="shared" si="21"/>
        <v>0</v>
      </c>
      <c r="E131" s="128">
        <f t="shared" si="21"/>
        <v>0</v>
      </c>
      <c r="F131" s="128">
        <f t="shared" si="21"/>
        <v>0</v>
      </c>
      <c r="G131" s="128">
        <f t="shared" si="21"/>
        <v>0</v>
      </c>
      <c r="H131" s="128">
        <f t="shared" si="21"/>
        <v>0</v>
      </c>
    </row>
    <row r="132" spans="1:8" hidden="1" x14ac:dyDescent="0.2">
      <c r="A132" s="93" t="str">
        <f t="shared" si="19"/>
        <v>Maize</v>
      </c>
      <c r="B132" s="128">
        <f t="shared" si="21"/>
        <v>0</v>
      </c>
      <c r="C132" s="128">
        <f t="shared" si="21"/>
        <v>0</v>
      </c>
      <c r="D132" s="128">
        <f t="shared" si="21"/>
        <v>0</v>
      </c>
      <c r="E132" s="128">
        <f t="shared" si="21"/>
        <v>0</v>
      </c>
      <c r="F132" s="128">
        <f t="shared" si="21"/>
        <v>0</v>
      </c>
      <c r="G132" s="128">
        <f t="shared" si="21"/>
        <v>0</v>
      </c>
      <c r="H132" s="128">
        <f t="shared" si="21"/>
        <v>0</v>
      </c>
    </row>
    <row r="133" spans="1:8" hidden="1" x14ac:dyDescent="0.2">
      <c r="A133" s="93" t="str">
        <f t="shared" si="19"/>
        <v>Safflower</v>
      </c>
      <c r="B133" s="128">
        <f t="shared" si="21"/>
        <v>0</v>
      </c>
      <c r="C133" s="128">
        <f t="shared" si="21"/>
        <v>0</v>
      </c>
      <c r="D133" s="128">
        <f t="shared" si="21"/>
        <v>0</v>
      </c>
      <c r="E133" s="128">
        <f t="shared" si="21"/>
        <v>0</v>
      </c>
      <c r="F133" s="128">
        <f t="shared" si="21"/>
        <v>0</v>
      </c>
      <c r="G133" s="128">
        <f t="shared" si="21"/>
        <v>0</v>
      </c>
      <c r="H133" s="128">
        <f t="shared" si="21"/>
        <v>0</v>
      </c>
    </row>
    <row r="134" spans="1:8" hidden="1" x14ac:dyDescent="0.2">
      <c r="A134" s="93">
        <f t="shared" si="19"/>
        <v>0</v>
      </c>
      <c r="B134" s="128">
        <f t="shared" si="21"/>
        <v>0</v>
      </c>
      <c r="C134" s="128">
        <f t="shared" si="21"/>
        <v>0</v>
      </c>
      <c r="D134" s="128">
        <f t="shared" si="21"/>
        <v>0</v>
      </c>
      <c r="E134" s="128">
        <f t="shared" si="21"/>
        <v>0</v>
      </c>
      <c r="F134" s="128">
        <f t="shared" si="21"/>
        <v>0</v>
      </c>
      <c r="G134" s="128">
        <f t="shared" si="21"/>
        <v>0</v>
      </c>
      <c r="H134" s="128">
        <f t="shared" si="21"/>
        <v>0</v>
      </c>
    </row>
    <row r="135" spans="1:8" hidden="1" x14ac:dyDescent="0.2">
      <c r="A135" s="93">
        <f t="shared" si="19"/>
        <v>0</v>
      </c>
      <c r="B135" s="128">
        <f t="shared" si="21"/>
        <v>0</v>
      </c>
      <c r="C135" s="128">
        <f t="shared" si="21"/>
        <v>0</v>
      </c>
      <c r="D135" s="128">
        <f t="shared" si="21"/>
        <v>0</v>
      </c>
      <c r="E135" s="128">
        <f t="shared" si="21"/>
        <v>0</v>
      </c>
      <c r="F135" s="128">
        <f t="shared" si="21"/>
        <v>0</v>
      </c>
      <c r="G135" s="128">
        <f t="shared" si="21"/>
        <v>0</v>
      </c>
      <c r="H135" s="128">
        <f t="shared" si="21"/>
        <v>0</v>
      </c>
    </row>
    <row r="136" spans="1:8" hidden="1" x14ac:dyDescent="0.2">
      <c r="A136" s="93">
        <f t="shared" si="19"/>
        <v>0</v>
      </c>
      <c r="B136" s="128">
        <f t="shared" si="21"/>
        <v>0</v>
      </c>
      <c r="C136" s="128">
        <f t="shared" si="21"/>
        <v>0</v>
      </c>
      <c r="D136" s="128">
        <f t="shared" si="21"/>
        <v>0</v>
      </c>
      <c r="E136" s="128">
        <f t="shared" si="21"/>
        <v>0</v>
      </c>
      <c r="F136" s="128">
        <f t="shared" si="21"/>
        <v>0</v>
      </c>
      <c r="G136" s="128">
        <f t="shared" si="21"/>
        <v>0</v>
      </c>
      <c r="H136" s="128">
        <f t="shared" si="21"/>
        <v>0</v>
      </c>
    </row>
    <row r="137" spans="1:8" hidden="1" x14ac:dyDescent="0.2">
      <c r="A137" s="93" t="str">
        <f t="shared" si="19"/>
        <v>Groundnut</v>
      </c>
      <c r="B137" s="128">
        <f t="shared" si="21"/>
        <v>0</v>
      </c>
      <c r="C137" s="128">
        <f t="shared" si="21"/>
        <v>0</v>
      </c>
      <c r="D137" s="128">
        <f t="shared" si="21"/>
        <v>0</v>
      </c>
      <c r="E137" s="128">
        <f t="shared" si="21"/>
        <v>0</v>
      </c>
      <c r="F137" s="128">
        <f t="shared" si="21"/>
        <v>0</v>
      </c>
      <c r="G137" s="128">
        <f t="shared" si="21"/>
        <v>0</v>
      </c>
      <c r="H137" s="128">
        <f t="shared" si="21"/>
        <v>0</v>
      </c>
    </row>
    <row r="138" spans="1:8" hidden="1" x14ac:dyDescent="0.2">
      <c r="A138" s="93">
        <f t="shared" si="19"/>
        <v>0</v>
      </c>
      <c r="B138" s="128">
        <f t="shared" si="21"/>
        <v>0</v>
      </c>
      <c r="C138" s="128">
        <f t="shared" si="21"/>
        <v>0</v>
      </c>
      <c r="D138" s="128">
        <f t="shared" si="21"/>
        <v>0</v>
      </c>
      <c r="E138" s="128">
        <f t="shared" si="21"/>
        <v>0</v>
      </c>
      <c r="F138" s="128">
        <f t="shared" si="21"/>
        <v>0</v>
      </c>
      <c r="G138" s="128">
        <f t="shared" si="21"/>
        <v>0</v>
      </c>
      <c r="H138" s="128">
        <f t="shared" si="21"/>
        <v>0</v>
      </c>
    </row>
    <row r="139" spans="1:8" hidden="1" x14ac:dyDescent="0.2">
      <c r="A139" s="93">
        <f t="shared" si="19"/>
        <v>0</v>
      </c>
      <c r="B139" s="128">
        <f t="shared" si="21"/>
        <v>0</v>
      </c>
      <c r="C139" s="128">
        <f t="shared" si="21"/>
        <v>0</v>
      </c>
      <c r="D139" s="128">
        <f t="shared" si="21"/>
        <v>0</v>
      </c>
      <c r="E139" s="128">
        <f t="shared" si="21"/>
        <v>0</v>
      </c>
      <c r="F139" s="128">
        <f t="shared" si="21"/>
        <v>0</v>
      </c>
      <c r="G139" s="128">
        <f t="shared" si="21"/>
        <v>0</v>
      </c>
      <c r="H139" s="128">
        <f t="shared" si="21"/>
        <v>0</v>
      </c>
    </row>
    <row r="140" spans="1:8" hidden="1" x14ac:dyDescent="0.2">
      <c r="A140" s="93">
        <f t="shared" si="19"/>
        <v>0</v>
      </c>
      <c r="B140" s="128">
        <f t="shared" ref="B140:H141" si="22">B88-(B88*$G$6)</f>
        <v>0</v>
      </c>
      <c r="C140" s="128">
        <f t="shared" si="22"/>
        <v>0</v>
      </c>
      <c r="D140" s="128">
        <f t="shared" si="22"/>
        <v>0</v>
      </c>
      <c r="E140" s="128">
        <f t="shared" si="22"/>
        <v>0</v>
      </c>
      <c r="F140" s="128">
        <f t="shared" si="22"/>
        <v>0</v>
      </c>
      <c r="G140" s="128">
        <f t="shared" si="22"/>
        <v>0</v>
      </c>
      <c r="H140" s="128">
        <f t="shared" si="22"/>
        <v>0</v>
      </c>
    </row>
    <row r="141" spans="1:8" hidden="1" x14ac:dyDescent="0.2">
      <c r="A141" s="93">
        <f t="shared" si="19"/>
        <v>0</v>
      </c>
      <c r="B141" s="128">
        <f t="shared" si="22"/>
        <v>0</v>
      </c>
      <c r="C141" s="128">
        <f t="shared" si="22"/>
        <v>0</v>
      </c>
      <c r="D141" s="128">
        <f t="shared" si="22"/>
        <v>0</v>
      </c>
      <c r="E141" s="128">
        <f t="shared" si="22"/>
        <v>0</v>
      </c>
      <c r="F141" s="128">
        <f t="shared" si="22"/>
        <v>0</v>
      </c>
      <c r="G141" s="128">
        <f t="shared" si="22"/>
        <v>0</v>
      </c>
      <c r="H141" s="128">
        <f t="shared" si="22"/>
        <v>0</v>
      </c>
    </row>
    <row r="142" spans="1:8" hidden="1" x14ac:dyDescent="0.2">
      <c r="A142" s="93"/>
      <c r="B142" s="128"/>
      <c r="C142" s="128"/>
      <c r="D142" s="128"/>
      <c r="E142" s="128"/>
      <c r="F142" s="128"/>
      <c r="G142" s="128"/>
      <c r="H142" s="128"/>
    </row>
    <row r="143" spans="1:8" hidden="1" x14ac:dyDescent="0.2">
      <c r="A143" s="98" t="str">
        <f t="shared" ref="A143:A161" si="23">A91</f>
        <v>Fruit  &amp; Vegetables Crop Production Details</v>
      </c>
      <c r="B143" s="128"/>
      <c r="C143" s="128"/>
      <c r="D143" s="128"/>
      <c r="E143" s="128"/>
      <c r="F143" s="128"/>
      <c r="G143" s="128"/>
      <c r="H143" s="128"/>
    </row>
    <row r="144" spans="1:8" hidden="1" x14ac:dyDescent="0.2">
      <c r="A144" s="93" t="str">
        <f t="shared" si="23"/>
        <v>Onion</v>
      </c>
      <c r="B144" s="128">
        <f t="shared" ref="B144:H153" si="24">B92-(B92*$G$7)</f>
        <v>0</v>
      </c>
      <c r="C144" s="128">
        <f t="shared" si="24"/>
        <v>0</v>
      </c>
      <c r="D144" s="128">
        <f t="shared" si="24"/>
        <v>0</v>
      </c>
      <c r="E144" s="128">
        <f t="shared" si="24"/>
        <v>0</v>
      </c>
      <c r="F144" s="128">
        <f t="shared" si="24"/>
        <v>0</v>
      </c>
      <c r="G144" s="128">
        <f t="shared" si="24"/>
        <v>0</v>
      </c>
      <c r="H144" s="128">
        <f t="shared" si="24"/>
        <v>0</v>
      </c>
    </row>
    <row r="145" spans="1:8" hidden="1" x14ac:dyDescent="0.2">
      <c r="A145" s="93" t="str">
        <f t="shared" si="23"/>
        <v>Tomato</v>
      </c>
      <c r="B145" s="128">
        <f t="shared" si="24"/>
        <v>0</v>
      </c>
      <c r="C145" s="128">
        <f t="shared" si="24"/>
        <v>0</v>
      </c>
      <c r="D145" s="128">
        <f t="shared" si="24"/>
        <v>0</v>
      </c>
      <c r="E145" s="128">
        <f t="shared" si="24"/>
        <v>0</v>
      </c>
      <c r="F145" s="128">
        <f t="shared" si="24"/>
        <v>0</v>
      </c>
      <c r="G145" s="128">
        <f t="shared" si="24"/>
        <v>0</v>
      </c>
      <c r="H145" s="128">
        <f t="shared" si="24"/>
        <v>0</v>
      </c>
    </row>
    <row r="146" spans="1:8" hidden="1" x14ac:dyDescent="0.2">
      <c r="A146" s="93" t="str">
        <f t="shared" si="23"/>
        <v>Okra</v>
      </c>
      <c r="B146" s="128">
        <f t="shared" si="24"/>
        <v>0</v>
      </c>
      <c r="C146" s="128">
        <f t="shared" si="24"/>
        <v>0</v>
      </c>
      <c r="D146" s="128">
        <f t="shared" si="24"/>
        <v>0</v>
      </c>
      <c r="E146" s="128">
        <f t="shared" si="24"/>
        <v>0</v>
      </c>
      <c r="F146" s="128">
        <f t="shared" si="24"/>
        <v>0</v>
      </c>
      <c r="G146" s="128">
        <f t="shared" si="24"/>
        <v>0</v>
      </c>
      <c r="H146" s="128">
        <f t="shared" si="24"/>
        <v>0</v>
      </c>
    </row>
    <row r="147" spans="1:8" hidden="1" x14ac:dyDescent="0.2">
      <c r="A147" s="93" t="str">
        <f t="shared" si="23"/>
        <v>Chilli</v>
      </c>
      <c r="B147" s="128">
        <f t="shared" si="24"/>
        <v>0</v>
      </c>
      <c r="C147" s="128">
        <f t="shared" si="24"/>
        <v>0</v>
      </c>
      <c r="D147" s="128">
        <f t="shared" si="24"/>
        <v>0</v>
      </c>
      <c r="E147" s="128">
        <f t="shared" si="24"/>
        <v>0</v>
      </c>
      <c r="F147" s="128">
        <f t="shared" si="24"/>
        <v>0</v>
      </c>
      <c r="G147" s="128">
        <f t="shared" si="24"/>
        <v>0</v>
      </c>
      <c r="H147" s="128">
        <f t="shared" si="24"/>
        <v>0</v>
      </c>
    </row>
    <row r="148" spans="1:8" hidden="1" x14ac:dyDescent="0.2">
      <c r="A148" s="93" t="str">
        <f t="shared" si="23"/>
        <v>Potato</v>
      </c>
      <c r="B148" s="128">
        <f t="shared" si="24"/>
        <v>0</v>
      </c>
      <c r="C148" s="128">
        <f t="shared" si="24"/>
        <v>0</v>
      </c>
      <c r="D148" s="128">
        <f t="shared" si="24"/>
        <v>0</v>
      </c>
      <c r="E148" s="128">
        <f t="shared" si="24"/>
        <v>0</v>
      </c>
      <c r="F148" s="128">
        <f t="shared" si="24"/>
        <v>0</v>
      </c>
      <c r="G148" s="128">
        <f t="shared" si="24"/>
        <v>0</v>
      </c>
      <c r="H148" s="128">
        <f t="shared" si="24"/>
        <v>0</v>
      </c>
    </row>
    <row r="149" spans="1:8" hidden="1" x14ac:dyDescent="0.2">
      <c r="A149" s="93">
        <f t="shared" si="23"/>
        <v>0</v>
      </c>
      <c r="B149" s="128">
        <f t="shared" si="24"/>
        <v>0</v>
      </c>
      <c r="C149" s="128">
        <f t="shared" si="24"/>
        <v>0</v>
      </c>
      <c r="D149" s="128">
        <f t="shared" si="24"/>
        <v>0</v>
      </c>
      <c r="E149" s="128">
        <f t="shared" si="24"/>
        <v>0</v>
      </c>
      <c r="F149" s="128">
        <f t="shared" si="24"/>
        <v>0</v>
      </c>
      <c r="G149" s="128">
        <f t="shared" si="24"/>
        <v>0</v>
      </c>
      <c r="H149" s="128">
        <f t="shared" si="24"/>
        <v>0</v>
      </c>
    </row>
    <row r="150" spans="1:8" hidden="1" x14ac:dyDescent="0.2">
      <c r="A150" s="93">
        <f t="shared" si="23"/>
        <v>0</v>
      </c>
      <c r="B150" s="128">
        <f t="shared" si="24"/>
        <v>0</v>
      </c>
      <c r="C150" s="128">
        <f t="shared" si="24"/>
        <v>0</v>
      </c>
      <c r="D150" s="128">
        <f t="shared" si="24"/>
        <v>0</v>
      </c>
      <c r="E150" s="128">
        <f t="shared" si="24"/>
        <v>0</v>
      </c>
      <c r="F150" s="128">
        <f t="shared" si="24"/>
        <v>0</v>
      </c>
      <c r="G150" s="128">
        <f t="shared" si="24"/>
        <v>0</v>
      </c>
      <c r="H150" s="128">
        <f t="shared" si="24"/>
        <v>0</v>
      </c>
    </row>
    <row r="151" spans="1:8" hidden="1" x14ac:dyDescent="0.2">
      <c r="A151" s="93">
        <f t="shared" si="23"/>
        <v>0</v>
      </c>
      <c r="B151" s="128">
        <f t="shared" si="24"/>
        <v>0</v>
      </c>
      <c r="C151" s="128">
        <f t="shared" si="24"/>
        <v>0</v>
      </c>
      <c r="D151" s="128">
        <f t="shared" si="24"/>
        <v>0</v>
      </c>
      <c r="E151" s="128">
        <f t="shared" si="24"/>
        <v>0</v>
      </c>
      <c r="F151" s="128">
        <f t="shared" si="24"/>
        <v>0</v>
      </c>
      <c r="G151" s="128">
        <f t="shared" si="24"/>
        <v>0</v>
      </c>
      <c r="H151" s="128">
        <f t="shared" si="24"/>
        <v>0</v>
      </c>
    </row>
    <row r="152" spans="1:8" hidden="1" x14ac:dyDescent="0.2">
      <c r="A152" s="93">
        <f t="shared" si="23"/>
        <v>0</v>
      </c>
      <c r="B152" s="128">
        <f t="shared" si="24"/>
        <v>0</v>
      </c>
      <c r="C152" s="128">
        <f t="shared" si="24"/>
        <v>0</v>
      </c>
      <c r="D152" s="128">
        <f t="shared" si="24"/>
        <v>0</v>
      </c>
      <c r="E152" s="128">
        <f t="shared" si="24"/>
        <v>0</v>
      </c>
      <c r="F152" s="128">
        <f t="shared" si="24"/>
        <v>0</v>
      </c>
      <c r="G152" s="128">
        <f t="shared" si="24"/>
        <v>0</v>
      </c>
      <c r="H152" s="128">
        <f t="shared" si="24"/>
        <v>0</v>
      </c>
    </row>
    <row r="153" spans="1:8" hidden="1" x14ac:dyDescent="0.2">
      <c r="A153" s="93" t="str">
        <f t="shared" si="23"/>
        <v>Onion</v>
      </c>
      <c r="B153" s="128">
        <f t="shared" si="24"/>
        <v>0</v>
      </c>
      <c r="C153" s="128">
        <f t="shared" si="24"/>
        <v>0</v>
      </c>
      <c r="D153" s="128">
        <f t="shared" si="24"/>
        <v>0</v>
      </c>
      <c r="E153" s="128">
        <f t="shared" si="24"/>
        <v>0</v>
      </c>
      <c r="F153" s="128">
        <f t="shared" si="24"/>
        <v>0</v>
      </c>
      <c r="G153" s="128">
        <f t="shared" si="24"/>
        <v>0</v>
      </c>
      <c r="H153" s="128">
        <f t="shared" si="24"/>
        <v>0</v>
      </c>
    </row>
    <row r="154" spans="1:8" hidden="1" x14ac:dyDescent="0.2">
      <c r="A154" s="93" t="str">
        <f t="shared" si="23"/>
        <v>Tomato</v>
      </c>
      <c r="B154" s="128">
        <f t="shared" ref="B154:H161" si="25">B102-(B102*$G$7)</f>
        <v>0</v>
      </c>
      <c r="C154" s="128">
        <f t="shared" si="25"/>
        <v>0</v>
      </c>
      <c r="D154" s="128">
        <f t="shared" si="25"/>
        <v>0</v>
      </c>
      <c r="E154" s="128">
        <f t="shared" si="25"/>
        <v>0</v>
      </c>
      <c r="F154" s="128">
        <f t="shared" si="25"/>
        <v>0</v>
      </c>
      <c r="G154" s="128">
        <f t="shared" si="25"/>
        <v>0</v>
      </c>
      <c r="H154" s="128">
        <f t="shared" si="25"/>
        <v>0</v>
      </c>
    </row>
    <row r="155" spans="1:8" hidden="1" x14ac:dyDescent="0.2">
      <c r="A155" s="93" t="str">
        <f t="shared" si="23"/>
        <v>Okra</v>
      </c>
      <c r="B155" s="128">
        <f t="shared" si="25"/>
        <v>0</v>
      </c>
      <c r="C155" s="128">
        <f t="shared" si="25"/>
        <v>0</v>
      </c>
      <c r="D155" s="128">
        <f t="shared" si="25"/>
        <v>0</v>
      </c>
      <c r="E155" s="128">
        <f t="shared" si="25"/>
        <v>0</v>
      </c>
      <c r="F155" s="128">
        <f t="shared" si="25"/>
        <v>0</v>
      </c>
      <c r="G155" s="128">
        <f t="shared" si="25"/>
        <v>0</v>
      </c>
      <c r="H155" s="128">
        <f t="shared" si="25"/>
        <v>0</v>
      </c>
    </row>
    <row r="156" spans="1:8" hidden="1" x14ac:dyDescent="0.2">
      <c r="A156" s="93" t="str">
        <f t="shared" si="23"/>
        <v>Chilli</v>
      </c>
      <c r="B156" s="128">
        <f t="shared" si="25"/>
        <v>0</v>
      </c>
      <c r="C156" s="128">
        <f t="shared" si="25"/>
        <v>0</v>
      </c>
      <c r="D156" s="128">
        <f t="shared" si="25"/>
        <v>0</v>
      </c>
      <c r="E156" s="128">
        <f t="shared" si="25"/>
        <v>0</v>
      </c>
      <c r="F156" s="128">
        <f t="shared" si="25"/>
        <v>0</v>
      </c>
      <c r="G156" s="128">
        <f t="shared" si="25"/>
        <v>0</v>
      </c>
      <c r="H156" s="128">
        <f t="shared" si="25"/>
        <v>0</v>
      </c>
    </row>
    <row r="157" spans="1:8" hidden="1" x14ac:dyDescent="0.2">
      <c r="A157" s="93" t="str">
        <f t="shared" si="23"/>
        <v>Brinjal</v>
      </c>
      <c r="B157" s="128">
        <f t="shared" si="25"/>
        <v>0</v>
      </c>
      <c r="C157" s="128">
        <f t="shared" si="25"/>
        <v>0</v>
      </c>
      <c r="D157" s="128">
        <f t="shared" si="25"/>
        <v>0</v>
      </c>
      <c r="E157" s="128">
        <f t="shared" si="25"/>
        <v>0</v>
      </c>
      <c r="F157" s="128">
        <f t="shared" si="25"/>
        <v>0</v>
      </c>
      <c r="G157" s="128">
        <f t="shared" si="25"/>
        <v>0</v>
      </c>
      <c r="H157" s="128">
        <f t="shared" si="25"/>
        <v>0</v>
      </c>
    </row>
    <row r="158" spans="1:8" hidden="1" x14ac:dyDescent="0.2">
      <c r="A158" s="93">
        <f t="shared" si="23"/>
        <v>0</v>
      </c>
      <c r="B158" s="128">
        <f t="shared" si="25"/>
        <v>0</v>
      </c>
      <c r="C158" s="128">
        <f t="shared" si="25"/>
        <v>0</v>
      </c>
      <c r="D158" s="128">
        <f t="shared" si="25"/>
        <v>0</v>
      </c>
      <c r="E158" s="128">
        <f t="shared" si="25"/>
        <v>0</v>
      </c>
      <c r="F158" s="128">
        <f t="shared" si="25"/>
        <v>0</v>
      </c>
      <c r="G158" s="128">
        <f t="shared" si="25"/>
        <v>0</v>
      </c>
      <c r="H158" s="128">
        <f t="shared" si="25"/>
        <v>0</v>
      </c>
    </row>
    <row r="159" spans="1:8" hidden="1" x14ac:dyDescent="0.2">
      <c r="A159" s="93">
        <f t="shared" si="23"/>
        <v>0</v>
      </c>
      <c r="B159" s="128">
        <f t="shared" si="25"/>
        <v>0</v>
      </c>
      <c r="C159" s="128">
        <f t="shared" si="25"/>
        <v>0</v>
      </c>
      <c r="D159" s="128">
        <f t="shared" si="25"/>
        <v>0</v>
      </c>
      <c r="E159" s="128">
        <f t="shared" si="25"/>
        <v>0</v>
      </c>
      <c r="F159" s="128">
        <f t="shared" si="25"/>
        <v>0</v>
      </c>
      <c r="G159" s="128">
        <f t="shared" si="25"/>
        <v>0</v>
      </c>
      <c r="H159" s="128">
        <f t="shared" si="25"/>
        <v>0</v>
      </c>
    </row>
    <row r="160" spans="1:8" hidden="1" x14ac:dyDescent="0.2">
      <c r="A160" s="93">
        <f t="shared" si="23"/>
        <v>0</v>
      </c>
      <c r="B160" s="128">
        <f t="shared" si="25"/>
        <v>0</v>
      </c>
      <c r="C160" s="128">
        <f t="shared" si="25"/>
        <v>0</v>
      </c>
      <c r="D160" s="128">
        <f t="shared" si="25"/>
        <v>0</v>
      </c>
      <c r="E160" s="128">
        <f t="shared" si="25"/>
        <v>0</v>
      </c>
      <c r="F160" s="128">
        <f t="shared" si="25"/>
        <v>0</v>
      </c>
      <c r="G160" s="128">
        <f t="shared" si="25"/>
        <v>0</v>
      </c>
      <c r="H160" s="128">
        <f t="shared" si="25"/>
        <v>0</v>
      </c>
    </row>
    <row r="161" spans="1:10" hidden="1" x14ac:dyDescent="0.2">
      <c r="A161" s="93">
        <f t="shared" si="23"/>
        <v>0</v>
      </c>
      <c r="B161" s="128">
        <f t="shared" si="25"/>
        <v>0</v>
      </c>
      <c r="C161" s="128">
        <f t="shared" si="25"/>
        <v>0</v>
      </c>
      <c r="D161" s="128">
        <f t="shared" si="25"/>
        <v>0</v>
      </c>
      <c r="E161" s="128">
        <f t="shared" si="25"/>
        <v>0</v>
      </c>
      <c r="F161" s="128">
        <f t="shared" si="25"/>
        <v>0</v>
      </c>
      <c r="G161" s="128">
        <f t="shared" si="25"/>
        <v>0</v>
      </c>
      <c r="H161" s="128">
        <f t="shared" si="25"/>
        <v>0</v>
      </c>
    </row>
    <row r="162" spans="1:10" hidden="1" x14ac:dyDescent="0.2">
      <c r="A162" s="93">
        <f t="shared" ref="A162:A165" si="26">A110</f>
        <v>0</v>
      </c>
      <c r="B162" s="128">
        <f t="shared" ref="B162:H162" si="27">B110-(B110*$G$7)</f>
        <v>0</v>
      </c>
      <c r="C162" s="128">
        <f t="shared" si="27"/>
        <v>0</v>
      </c>
      <c r="D162" s="128">
        <f t="shared" si="27"/>
        <v>0</v>
      </c>
      <c r="E162" s="128">
        <f t="shared" si="27"/>
        <v>0</v>
      </c>
      <c r="F162" s="128">
        <f t="shared" si="27"/>
        <v>0</v>
      </c>
      <c r="G162" s="128">
        <f t="shared" si="27"/>
        <v>0</v>
      </c>
      <c r="H162" s="128">
        <f t="shared" si="27"/>
        <v>0</v>
      </c>
    </row>
    <row r="163" spans="1:10" hidden="1" x14ac:dyDescent="0.2">
      <c r="A163" s="93">
        <f t="shared" si="26"/>
        <v>0</v>
      </c>
      <c r="B163" s="128">
        <f t="shared" ref="B163:H163" si="28">B111-(B111*$G$7)</f>
        <v>0</v>
      </c>
      <c r="C163" s="128">
        <f t="shared" si="28"/>
        <v>0</v>
      </c>
      <c r="D163" s="128">
        <f t="shared" si="28"/>
        <v>0</v>
      </c>
      <c r="E163" s="128">
        <f t="shared" si="28"/>
        <v>0</v>
      </c>
      <c r="F163" s="128">
        <f t="shared" si="28"/>
        <v>0</v>
      </c>
      <c r="G163" s="128">
        <f t="shared" si="28"/>
        <v>0</v>
      </c>
      <c r="H163" s="128">
        <f t="shared" si="28"/>
        <v>0</v>
      </c>
    </row>
    <row r="164" spans="1:10" hidden="1" x14ac:dyDescent="0.2">
      <c r="A164" s="93">
        <f t="shared" si="26"/>
        <v>0</v>
      </c>
      <c r="B164" s="128">
        <f t="shared" ref="B164:H165" si="29">B112-(B112*$G$7)</f>
        <v>0</v>
      </c>
      <c r="C164" s="128">
        <f t="shared" si="29"/>
        <v>0</v>
      </c>
      <c r="D164" s="128">
        <f t="shared" si="29"/>
        <v>0</v>
      </c>
      <c r="E164" s="128">
        <f t="shared" si="29"/>
        <v>0</v>
      </c>
      <c r="F164" s="128">
        <f t="shared" si="29"/>
        <v>0</v>
      </c>
      <c r="G164" s="128">
        <f t="shared" si="29"/>
        <v>0</v>
      </c>
      <c r="H164" s="128">
        <f t="shared" si="29"/>
        <v>0</v>
      </c>
    </row>
    <row r="165" spans="1:10" hidden="1" x14ac:dyDescent="0.2">
      <c r="A165" s="93" t="str">
        <f t="shared" si="26"/>
        <v>Pomegranate</v>
      </c>
      <c r="B165" s="128">
        <f t="shared" si="29"/>
        <v>0</v>
      </c>
      <c r="C165" s="128">
        <f t="shared" ref="C165:H168" si="30">C113-(C113*$G$7)</f>
        <v>0</v>
      </c>
      <c r="D165" s="128">
        <f t="shared" si="30"/>
        <v>0</v>
      </c>
      <c r="E165" s="128">
        <f t="shared" si="30"/>
        <v>0</v>
      </c>
      <c r="F165" s="128">
        <f t="shared" si="30"/>
        <v>0</v>
      </c>
      <c r="G165" s="128">
        <f t="shared" si="30"/>
        <v>0</v>
      </c>
      <c r="H165" s="128">
        <f t="shared" si="30"/>
        <v>0</v>
      </c>
    </row>
    <row r="166" spans="1:10" hidden="1" x14ac:dyDescent="0.2">
      <c r="A166" s="93" t="str">
        <f>A114</f>
        <v>Custard Apple</v>
      </c>
      <c r="B166" s="128">
        <f>B114-(B114*$G$7)</f>
        <v>0</v>
      </c>
      <c r="C166" s="128">
        <f t="shared" si="30"/>
        <v>0</v>
      </c>
      <c r="D166" s="128">
        <f t="shared" si="30"/>
        <v>0</v>
      </c>
      <c r="E166" s="128">
        <f t="shared" si="30"/>
        <v>0</v>
      </c>
      <c r="F166" s="128">
        <f t="shared" si="30"/>
        <v>0</v>
      </c>
      <c r="G166" s="128">
        <f t="shared" si="30"/>
        <v>0</v>
      </c>
      <c r="H166" s="128">
        <f t="shared" si="30"/>
        <v>0</v>
      </c>
    </row>
    <row r="167" spans="1:10" hidden="1" x14ac:dyDescent="0.2">
      <c r="A167" s="93" t="str">
        <f>A115</f>
        <v>Guava</v>
      </c>
      <c r="B167" s="128">
        <f>B115-(B115*$G$7)</f>
        <v>0</v>
      </c>
      <c r="C167" s="128">
        <f t="shared" si="30"/>
        <v>0</v>
      </c>
      <c r="D167" s="128">
        <f t="shared" si="30"/>
        <v>0</v>
      </c>
      <c r="E167" s="128">
        <f t="shared" si="30"/>
        <v>0</v>
      </c>
      <c r="F167" s="128">
        <f t="shared" si="30"/>
        <v>0</v>
      </c>
      <c r="G167" s="128">
        <f t="shared" si="30"/>
        <v>0</v>
      </c>
      <c r="H167" s="128">
        <f t="shared" si="30"/>
        <v>0</v>
      </c>
    </row>
    <row r="168" spans="1:10" hidden="1" x14ac:dyDescent="0.2">
      <c r="A168" s="93" t="str">
        <f>A116</f>
        <v>Citrus</v>
      </c>
      <c r="B168" s="128">
        <f>B116-(B116*$G$7)</f>
        <v>0</v>
      </c>
      <c r="C168" s="128">
        <f t="shared" si="30"/>
        <v>0</v>
      </c>
      <c r="D168" s="128">
        <f t="shared" si="30"/>
        <v>0</v>
      </c>
      <c r="E168" s="128">
        <f t="shared" si="30"/>
        <v>0</v>
      </c>
      <c r="F168" s="128">
        <f t="shared" si="30"/>
        <v>0</v>
      </c>
      <c r="G168" s="128">
        <f t="shared" si="30"/>
        <v>0</v>
      </c>
      <c r="H168" s="128">
        <f t="shared" si="30"/>
        <v>0</v>
      </c>
    </row>
    <row r="170" spans="1:10" x14ac:dyDescent="0.2">
      <c r="A170" s="429" t="s">
        <v>575</v>
      </c>
      <c r="B170" s="429"/>
      <c r="C170" s="429"/>
      <c r="D170" s="429"/>
      <c r="E170" s="429"/>
      <c r="F170" s="429"/>
      <c r="G170" s="429"/>
      <c r="H170" s="429"/>
      <c r="I170" s="429"/>
      <c r="J170" s="429"/>
    </row>
    <row r="171" spans="1:10" x14ac:dyDescent="0.2">
      <c r="A171" s="135"/>
      <c r="B171" s="135"/>
      <c r="C171" s="135"/>
      <c r="D171" s="135"/>
      <c r="E171" s="135"/>
      <c r="F171" s="135"/>
      <c r="G171" s="135"/>
      <c r="H171" s="135"/>
    </row>
    <row r="172" spans="1:10" x14ac:dyDescent="0.2">
      <c r="A172" s="135"/>
      <c r="B172" s="135"/>
      <c r="C172" s="135"/>
      <c r="D172" s="136">
        <v>1</v>
      </c>
      <c r="E172" s="137">
        <f>(D172*5%)+D172</f>
        <v>1.05</v>
      </c>
      <c r="F172" s="137">
        <f t="shared" ref="F172:J172" si="31">(E172*5%)+E172</f>
        <v>1.1025</v>
      </c>
      <c r="G172" s="137">
        <f t="shared" si="31"/>
        <v>1.1576250000000001</v>
      </c>
      <c r="H172" s="137">
        <f t="shared" si="31"/>
        <v>1.2155062500000002</v>
      </c>
      <c r="I172" s="137">
        <f t="shared" si="31"/>
        <v>1.2762815625000004</v>
      </c>
      <c r="J172" s="137">
        <f t="shared" si="31"/>
        <v>1.3400956406250004</v>
      </c>
    </row>
    <row r="173" spans="1:10" x14ac:dyDescent="0.2">
      <c r="C173" s="92">
        <f>(300/750)*500</f>
        <v>200</v>
      </c>
    </row>
    <row r="174" spans="1:10" x14ac:dyDescent="0.2">
      <c r="D174" s="138"/>
      <c r="E174" s="138"/>
      <c r="F174" s="138"/>
      <c r="G174" s="138"/>
      <c r="H174" s="138"/>
      <c r="I174" s="138"/>
      <c r="J174" s="138"/>
    </row>
    <row r="175" spans="1:10" x14ac:dyDescent="0.2">
      <c r="A175" s="123" t="s">
        <v>0</v>
      </c>
      <c r="B175" s="123"/>
      <c r="C175" s="123" t="s">
        <v>152</v>
      </c>
      <c r="D175" s="139" t="s">
        <v>2</v>
      </c>
      <c r="E175" s="139" t="s">
        <v>3</v>
      </c>
      <c r="F175" s="139" t="s">
        <v>4</v>
      </c>
      <c r="G175" s="139" t="s">
        <v>5</v>
      </c>
      <c r="H175" s="139" t="s">
        <v>6</v>
      </c>
      <c r="I175" s="139" t="s">
        <v>168</v>
      </c>
      <c r="J175" s="139" t="s">
        <v>167</v>
      </c>
    </row>
    <row r="176" spans="1:10" x14ac:dyDescent="0.2">
      <c r="A176" s="98"/>
      <c r="B176" s="98"/>
      <c r="C176" s="98"/>
      <c r="D176" s="93"/>
      <c r="E176" s="93"/>
      <c r="F176" s="93"/>
      <c r="G176" s="93"/>
      <c r="H176" s="93"/>
      <c r="I176" s="93"/>
      <c r="J176" s="93"/>
    </row>
    <row r="177" spans="1:16" x14ac:dyDescent="0.2">
      <c r="A177" s="98" t="s">
        <v>126</v>
      </c>
      <c r="B177" s="98"/>
      <c r="C177" s="98"/>
      <c r="D177" s="93"/>
      <c r="E177" s="93"/>
      <c r="F177" s="93"/>
      <c r="G177" s="93"/>
      <c r="H177" s="93"/>
      <c r="I177" s="93"/>
      <c r="J177" s="93"/>
    </row>
    <row r="178" spans="1:16" x14ac:dyDescent="0.2">
      <c r="A178" s="98" t="str">
        <f>Output!K21</f>
        <v>Strawberry</v>
      </c>
      <c r="B178" s="98"/>
      <c r="C178" s="98"/>
      <c r="D178" s="93"/>
      <c r="E178" s="93"/>
      <c r="F178" s="93"/>
      <c r="G178" s="93"/>
      <c r="H178" s="93"/>
      <c r="I178" s="93"/>
      <c r="J178" s="93"/>
    </row>
    <row r="179" spans="1:16" x14ac:dyDescent="0.2">
      <c r="A179" s="93" t="s">
        <v>855</v>
      </c>
      <c r="B179" s="98" t="s">
        <v>875</v>
      </c>
      <c r="C179" s="93">
        <v>80</v>
      </c>
      <c r="D179" s="140">
        <f>((((1-'5.Closing Stock &amp; W Capital'!$D$16)*Output!C15)*'12.Facility 1 - Trading'!$C$179)*'12.Facility 1 - Trading'!D172)</f>
        <v>13230000</v>
      </c>
      <c r="E179" s="140">
        <f>(((((1-'5.Closing Stock &amp; W Capital'!$D$16)*Output!D15)+(Output!C15*'5.Closing Stock &amp; W Capital'!$D$16))*'12.Facility 1 - Trading'!$C$179)*'12.Facility 1 - Trading'!E172)</f>
        <v>15564150</v>
      </c>
      <c r="F179" s="140">
        <f>(((((1-'5.Closing Stock &amp; W Capital'!$D$16)*Output!E15)+(Output!D15*'5.Closing Stock &amp; W Capital'!$D$16))*'12.Facility 1 - Trading'!$C$179)*'12.Facility 1 - Trading'!F172)</f>
        <v>17830732.500000004</v>
      </c>
      <c r="G179" s="140">
        <f>(((((1-'5.Closing Stock &amp; W Capital'!$D$16)*Output!F15)+(Output!E15*'5.Closing Stock &amp; W Capital'!$D$16))*'12.Facility 1 - Trading'!$C$179)*'12.Facility 1 - Trading'!G172)</f>
        <v>20285062.875000007</v>
      </c>
      <c r="H179" s="140">
        <f>(((((1-'5.Closing Stock &amp; W Capital'!$D$16)*Output!G15)+(Output!F15*'5.Closing Stock &amp; W Capital'!$D$16))*'12.Facility 1 - Trading'!$C$179)*'12.Facility 1 - Trading'!H172)</f>
        <v>22940249.456250008</v>
      </c>
      <c r="I179" s="140">
        <f>(((((1-'5.Closing Stock &amp; W Capital'!$D$16)*Output!H15)+(Output!G15*'5.Closing Stock &amp; W Capital'!$D$16))*'12.Facility 1 - Trading'!$C$179)*'12.Facility 1 - Trading'!I172)</f>
        <v>25810242.038437515</v>
      </c>
      <c r="J179" s="140">
        <f>(((((1-'5.Closing Stock &amp; W Capital'!$D$16)*Output!I15)+(Output!H15*'5.Closing Stock &amp; W Capital'!$D$16))*'12.Facility 1 - Trading'!$C$179)*'12.Facility 1 - Trading'!J172)</f>
        <v>28909883.255203139</v>
      </c>
      <c r="K179" s="141"/>
      <c r="L179" s="141"/>
      <c r="M179" s="141"/>
      <c r="N179" s="141"/>
      <c r="O179" s="141"/>
      <c r="P179" s="141"/>
    </row>
    <row r="180" spans="1:16" x14ac:dyDescent="0.2">
      <c r="A180" s="93" t="s">
        <v>855</v>
      </c>
      <c r="B180" s="98" t="s">
        <v>876</v>
      </c>
      <c r="C180" s="93">
        <v>200</v>
      </c>
      <c r="D180" s="140">
        <f>((((1-'5.Closing Stock &amp; W Capital'!$D$16)*Output!C16)*'12.Facility 1 - Trading'!$C$180)*'12.Facility 1 - Trading'!D172)</f>
        <v>13230000</v>
      </c>
      <c r="E180" s="140">
        <f>(((((1-'5.Closing Stock &amp; W Capital'!$D$16)*Output!D16)+(Output!C16*'5.Closing Stock &amp; W Capital'!$D$16))*'12.Facility 1 - Trading'!$C$180)*'12.Facility 1 - Trading'!E172)</f>
        <v>15564150</v>
      </c>
      <c r="F180" s="140">
        <f>(((((1-'5.Closing Stock &amp; W Capital'!$D$16)*Output!E16)+(Output!D16*'5.Closing Stock &amp; W Capital'!$D$16))*'12.Facility 1 - Trading'!$C$180)*'12.Facility 1 - Trading'!F172)</f>
        <v>17830732.500000004</v>
      </c>
      <c r="G180" s="140">
        <f>(((((1-'5.Closing Stock &amp; W Capital'!$D$16)*Output!F16)+(Output!E16*'5.Closing Stock &amp; W Capital'!$D$16))*'12.Facility 1 - Trading'!$C$180)*'12.Facility 1 - Trading'!G172)</f>
        <v>20285062.875000007</v>
      </c>
      <c r="H180" s="140">
        <f>(((((1-'5.Closing Stock &amp; W Capital'!$D$16)*Output!G16)+(Output!F16*'5.Closing Stock &amp; W Capital'!$D$16))*'12.Facility 1 - Trading'!$C$180)*'12.Facility 1 - Trading'!H172)</f>
        <v>22940249.456250008</v>
      </c>
      <c r="I180" s="140">
        <f>(((((1-'5.Closing Stock &amp; W Capital'!$D$16)*Output!H16)+(Output!G16*'5.Closing Stock &amp; W Capital'!$D$16))*'12.Facility 1 - Trading'!$C$180)*'12.Facility 1 - Trading'!I172)</f>
        <v>25810242.038437515</v>
      </c>
      <c r="J180" s="140">
        <f>(((((1-'5.Closing Stock &amp; W Capital'!$D$16)*Output!I16)+(Output!H16*'5.Closing Stock &amp; W Capital'!$D$16))*'12.Facility 1 - Trading'!$C$180)*'12.Facility 1 - Trading'!J172)</f>
        <v>28909883.255203143</v>
      </c>
      <c r="K180" s="141"/>
      <c r="L180" s="141"/>
      <c r="M180" s="141"/>
      <c r="N180" s="141"/>
      <c r="O180" s="141"/>
      <c r="P180" s="141"/>
    </row>
    <row r="181" spans="1:16" x14ac:dyDescent="0.2">
      <c r="A181" s="93"/>
      <c r="B181" s="98"/>
      <c r="C181" s="98"/>
      <c r="D181" s="140"/>
      <c r="E181" s="140"/>
      <c r="F181" s="140"/>
      <c r="G181" s="140"/>
      <c r="H181" s="140"/>
      <c r="I181" s="140"/>
      <c r="J181" s="140"/>
    </row>
    <row r="182" spans="1:16" x14ac:dyDescent="0.2">
      <c r="A182" s="93" t="s">
        <v>854</v>
      </c>
      <c r="B182" s="98" t="s">
        <v>856</v>
      </c>
      <c r="C182" s="93">
        <v>75</v>
      </c>
      <c r="D182" s="140">
        <f>((((1-'5.Closing Stock &amp; W Capital'!$D$16)*Output!L22)*1000)/750)*$C182*D$172</f>
        <v>15082200</v>
      </c>
      <c r="E182" s="140">
        <f>(((((1-'5.Closing Stock &amp; W Capital'!$D$16)*Output!M22)+(('5.Closing Stock &amp; W Capital'!$D$16)*Output!L22))*1000)/750)*$C182*E$172</f>
        <v>17743130.999999996</v>
      </c>
      <c r="F182" s="140">
        <f>(((((1-'5.Closing Stock &amp; W Capital'!$D$16)*Output!N22)+(('5.Closing Stock &amp; W Capital'!$D$16)*Output!M22))*1000)/750)*$C182*F$172</f>
        <v>20327035.050000004</v>
      </c>
      <c r="G182" s="140">
        <f>(((((1-'5.Closing Stock &amp; W Capital'!$D$16)*Output!O22)+(('5.Closing Stock &amp; W Capital'!$D$16)*Output!N22))*1000)/750)*$C182*G$172</f>
        <v>23124971.67750001</v>
      </c>
      <c r="H182" s="140">
        <f>(((((1-'5.Closing Stock &amp; W Capital'!$D$16)*Output!P22)+(('5.Closing Stock &amp; W Capital'!$D$16)*Output!O22))*1000)/750)*$C182*H$172</f>
        <v>26151884.380125012</v>
      </c>
      <c r="I182" s="140">
        <f>(((((1-'5.Closing Stock &amp; W Capital'!$D$16)*Output!Q22)+(('5.Closing Stock &amp; W Capital'!$D$16)*Output!P22))*1000)/750)*$C182*I$172</f>
        <v>29423675.923818767</v>
      </c>
      <c r="J182" s="140">
        <f>(((((1-'5.Closing Stock &amp; W Capital'!$D$16)*Output!R22)+(('5.Closing Stock &amp; W Capital'!$D$16)*Output!Q22))*1000)/750)*$C182*J$172</f>
        <v>32957266.910931583</v>
      </c>
    </row>
    <row r="183" spans="1:16" hidden="1" x14ac:dyDescent="0.2">
      <c r="A183" s="98">
        <f>Output!K25</f>
        <v>0</v>
      </c>
      <c r="B183" s="98"/>
      <c r="C183" s="98"/>
      <c r="D183" s="93"/>
      <c r="E183" s="93"/>
      <c r="F183" s="93"/>
      <c r="G183" s="93"/>
      <c r="H183" s="93"/>
      <c r="I183" s="93"/>
      <c r="J183" s="93"/>
    </row>
    <row r="184" spans="1:16" hidden="1" x14ac:dyDescent="0.2">
      <c r="A184" s="93">
        <f>Output!K26</f>
        <v>0</v>
      </c>
      <c r="B184" s="98" t="s">
        <v>782</v>
      </c>
      <c r="C184" s="98">
        <f>20*10</f>
        <v>200</v>
      </c>
      <c r="D184" s="140">
        <f>((((1-'5.Closing Stock &amp; W Capital'!$D$16)*Output!L26)*1000)/10)*$C184*D$172</f>
        <v>0</v>
      </c>
      <c r="E184" s="140">
        <f>(((((1-'5.Closing Stock &amp; W Capital'!$D$16)*Output!M26)+(('5.Closing Stock &amp; W Capital'!$D$16)*Output!L26))*1000)/10)*$C184*E$172</f>
        <v>0</v>
      </c>
      <c r="F184" s="140">
        <f>(((((1-'5.Closing Stock &amp; W Capital'!$D$16)*Output!N26)+(('5.Closing Stock &amp; W Capital'!$D$16)*Output!M26))*1000)/10)*$C184*F$172</f>
        <v>0</v>
      </c>
      <c r="G184" s="140">
        <f>(((((1-'5.Closing Stock &amp; W Capital'!$D$16)*Output!O26)+(('5.Closing Stock &amp; W Capital'!$D$16)*Output!N26))*1000)/10)*$C184*G$172</f>
        <v>0</v>
      </c>
      <c r="H184" s="140">
        <f>(((((1-'5.Closing Stock &amp; W Capital'!$D$16)*Output!P26)+(('5.Closing Stock &amp; W Capital'!$D$16)*Output!O26))*1000)/10)*$C184*H$172</f>
        <v>0</v>
      </c>
      <c r="I184" s="140">
        <f>(((((1-'5.Closing Stock &amp; W Capital'!$D$16)*Output!Q26)+(('5.Closing Stock &amp; W Capital'!$D$16)*Output!P26))*1000)/10)*$C184*I$172</f>
        <v>0</v>
      </c>
      <c r="J184" s="140">
        <f>(((((1-'5.Closing Stock &amp; W Capital'!$D$16)*Output!R26)+(('5.Closing Stock &amp; W Capital'!$D$16)*Output!Q26))*1000)/10)*$C184*J$172</f>
        <v>0</v>
      </c>
    </row>
    <row r="185" spans="1:16" hidden="1" x14ac:dyDescent="0.2">
      <c r="A185" s="98"/>
      <c r="B185" s="98"/>
      <c r="C185" s="98"/>
      <c r="D185" s="93"/>
      <c r="E185" s="93"/>
      <c r="F185" s="93"/>
      <c r="G185" s="93"/>
      <c r="H185" s="93"/>
      <c r="I185" s="93"/>
      <c r="J185" s="93"/>
    </row>
    <row r="186" spans="1:16" hidden="1" x14ac:dyDescent="0.2">
      <c r="A186" s="98" t="s">
        <v>781</v>
      </c>
      <c r="B186" s="98"/>
      <c r="C186" s="98"/>
      <c r="D186" s="93"/>
      <c r="E186" s="93"/>
      <c r="F186" s="93"/>
      <c r="G186" s="93"/>
      <c r="H186" s="93"/>
      <c r="I186" s="93"/>
      <c r="J186" s="93"/>
    </row>
    <row r="187" spans="1:16" hidden="1" x14ac:dyDescent="0.2">
      <c r="A187" s="93">
        <f>Output!B25</f>
        <v>0</v>
      </c>
      <c r="B187" s="93" t="s">
        <v>771</v>
      </c>
      <c r="C187" s="142">
        <f>185*20</f>
        <v>3700</v>
      </c>
      <c r="D187" s="140">
        <f>(((1-'5.Closing Stock &amp; W Capital'!$D$16)*Output!C25)/20)*$C187*D$172</f>
        <v>0</v>
      </c>
      <c r="E187" s="140">
        <f>((((1-'5.Closing Stock &amp; W Capital'!$D$16)*Output!D25)+(('5.Closing Stock &amp; W Capital'!$D$16)*Output!C25))/20)*$C187*E$172</f>
        <v>0</v>
      </c>
      <c r="F187" s="140">
        <f>((((1-'5.Closing Stock &amp; W Capital'!$D$16)*Output!E25)+(('5.Closing Stock &amp; W Capital'!$D$16)*Output!D25))/20)*$C187*F$172</f>
        <v>0</v>
      </c>
      <c r="G187" s="140">
        <f>((((1-'5.Closing Stock &amp; W Capital'!$D$16)*Output!F25)+(('5.Closing Stock &amp; W Capital'!$D$16)*Output!E25))/20)*$C187*G$172</f>
        <v>0</v>
      </c>
      <c r="H187" s="140">
        <f>((((1-'5.Closing Stock &amp; W Capital'!$D$16)*Output!G25)+(('5.Closing Stock &amp; W Capital'!$D$16)*Output!F25))/20)*$C187*H$172</f>
        <v>0</v>
      </c>
      <c r="I187" s="140">
        <f>((((1-'5.Closing Stock &amp; W Capital'!$D$16)*Output!H25)+(('5.Closing Stock &amp; W Capital'!$D$16)*Output!G25))/20)*$C187*I$172</f>
        <v>0</v>
      </c>
      <c r="J187" s="140">
        <f>((((1-'5.Closing Stock &amp; W Capital'!$D$16)*Output!I25)+(('5.Closing Stock &amp; W Capital'!$D$16)*Output!H25))/20)*$C187*J$172</f>
        <v>0</v>
      </c>
    </row>
    <row r="188" spans="1:16" hidden="1" x14ac:dyDescent="0.2">
      <c r="A188" s="93">
        <f>Output!B26</f>
        <v>0</v>
      </c>
      <c r="B188" s="93" t="s">
        <v>770</v>
      </c>
      <c r="C188" s="142">
        <f>170*50</f>
        <v>8500</v>
      </c>
      <c r="D188" s="140">
        <f>(((1-'5.Closing Stock &amp; W Capital'!$D$16)*Output!C26)/50)*$C188*D$172</f>
        <v>0</v>
      </c>
      <c r="E188" s="140">
        <f>((((1-'5.Closing Stock &amp; W Capital'!$D$16)*Output!D26)+(('5.Closing Stock &amp; W Capital'!$D$16)*Output!C26))/50)*$C188*E$172</f>
        <v>0</v>
      </c>
      <c r="F188" s="140">
        <f>((((1-'5.Closing Stock &amp; W Capital'!$D$16)*Output!E26)+(('5.Closing Stock &amp; W Capital'!$D$16)*Output!D26))/50)*$C188*F$172</f>
        <v>0</v>
      </c>
      <c r="G188" s="140">
        <f>((((1-'5.Closing Stock &amp; W Capital'!$D$16)*Output!F26)+(('5.Closing Stock &amp; W Capital'!$D$16)*Output!E26))/50)*$C188*G$172</f>
        <v>0</v>
      </c>
      <c r="H188" s="140">
        <f>((((1-'5.Closing Stock &amp; W Capital'!$D$16)*Output!G26)+(('5.Closing Stock &amp; W Capital'!$D$16)*Output!F26))/50)*$C188*H$172</f>
        <v>0</v>
      </c>
      <c r="I188" s="140">
        <f>((((1-'5.Closing Stock &amp; W Capital'!$D$16)*Output!H26)+(('5.Closing Stock &amp; W Capital'!$D$16)*Output!G26))/50)*$C188*I$172</f>
        <v>0</v>
      </c>
      <c r="J188" s="140">
        <f>((((1-'5.Closing Stock &amp; W Capital'!$D$16)*Output!I26)+(('5.Closing Stock &amp; W Capital'!$D$16)*Output!H26))/50)*$C188*J$172</f>
        <v>0</v>
      </c>
    </row>
    <row r="189" spans="1:16" hidden="1" x14ac:dyDescent="0.2">
      <c r="A189" s="93">
        <f>Output!B27</f>
        <v>0</v>
      </c>
      <c r="B189" s="93" t="s">
        <v>771</v>
      </c>
      <c r="C189" s="142">
        <f>200*20</f>
        <v>4000</v>
      </c>
      <c r="D189" s="140">
        <f>(((1-'5.Closing Stock &amp; W Capital'!$D$16)*Output!C27)/20)*$C189*D$172</f>
        <v>0</v>
      </c>
      <c r="E189" s="140">
        <f>((((1-'5.Closing Stock &amp; W Capital'!$D$16)*Output!D27)+(('5.Closing Stock &amp; W Capital'!$D$16)*Output!C27))/20)*$C189*E$172</f>
        <v>0</v>
      </c>
      <c r="F189" s="140">
        <f>((((1-'5.Closing Stock &amp; W Capital'!$D$16)*Output!E27)+(('5.Closing Stock &amp; W Capital'!$D$16)*Output!D27))/20)*$C189*F$172</f>
        <v>0</v>
      </c>
      <c r="G189" s="140">
        <f>((((1-'5.Closing Stock &amp; W Capital'!$D$16)*Output!F27)+(('5.Closing Stock &amp; W Capital'!$D$16)*Output!E27))/20)*$C189*G$172</f>
        <v>0</v>
      </c>
      <c r="H189" s="140">
        <f>((((1-'5.Closing Stock &amp; W Capital'!$D$16)*Output!G27)+(('5.Closing Stock &amp; W Capital'!$D$16)*Output!F27))/20)*$C189*H$172</f>
        <v>0</v>
      </c>
      <c r="I189" s="140">
        <f>((((1-'5.Closing Stock &amp; W Capital'!$D$16)*Output!H27)+(('5.Closing Stock &amp; W Capital'!$D$16)*Output!G27))/20)*$C189*I$172</f>
        <v>0</v>
      </c>
      <c r="J189" s="140">
        <f>((((1-'5.Closing Stock &amp; W Capital'!$D$16)*Output!I27)+(('5.Closing Stock &amp; W Capital'!$D$16)*Output!H27))/20)*$C189*J$172</f>
        <v>0</v>
      </c>
    </row>
    <row r="190" spans="1:16" x14ac:dyDescent="0.2">
      <c r="A190" s="98"/>
      <c r="B190" s="98"/>
      <c r="C190" s="98"/>
      <c r="D190" s="93"/>
      <c r="E190" s="93"/>
      <c r="F190" s="140"/>
      <c r="G190" s="140"/>
      <c r="H190" s="140"/>
      <c r="I190" s="140"/>
      <c r="J190" s="140"/>
    </row>
    <row r="191" spans="1:16" x14ac:dyDescent="0.2">
      <c r="A191" s="98" t="s">
        <v>143</v>
      </c>
      <c r="B191" s="98"/>
      <c r="C191" s="98"/>
      <c r="D191" s="143">
        <f t="shared" ref="D191:J191" si="32">SUM(D179:D190)</f>
        <v>41542200</v>
      </c>
      <c r="E191" s="143">
        <f t="shared" si="32"/>
        <v>48871431</v>
      </c>
      <c r="F191" s="143">
        <f t="shared" si="32"/>
        <v>55988500.050000012</v>
      </c>
      <c r="G191" s="143">
        <f t="shared" si="32"/>
        <v>63695097.427500024</v>
      </c>
      <c r="H191" s="143">
        <f t="shared" si="32"/>
        <v>72032383.292625025</v>
      </c>
      <c r="I191" s="143">
        <f t="shared" si="32"/>
        <v>81044160.000693798</v>
      </c>
      <c r="J191" s="143">
        <f t="shared" si="32"/>
        <v>90777033.421337873</v>
      </c>
    </row>
    <row r="192" spans="1:16" x14ac:dyDescent="0.2">
      <c r="A192" s="93"/>
      <c r="B192" s="93"/>
      <c r="C192" s="93"/>
      <c r="D192" s="93"/>
      <c r="E192" s="93"/>
      <c r="F192" s="93"/>
      <c r="G192" s="93"/>
      <c r="H192" s="93"/>
      <c r="I192" s="93"/>
      <c r="J192" s="93"/>
    </row>
    <row r="193" spans="1:10" x14ac:dyDescent="0.2">
      <c r="A193" s="98" t="s">
        <v>142</v>
      </c>
      <c r="B193" s="98"/>
      <c r="C193" s="98"/>
      <c r="D193" s="93"/>
      <c r="E193" s="93"/>
      <c r="F193" s="93"/>
      <c r="G193" s="93"/>
      <c r="H193" s="93"/>
      <c r="I193" s="93"/>
      <c r="J193" s="93"/>
    </row>
    <row r="194" spans="1:10" x14ac:dyDescent="0.2">
      <c r="A194" s="98" t="s">
        <v>306</v>
      </c>
      <c r="B194" s="98"/>
      <c r="C194" s="93"/>
      <c r="D194" s="93"/>
      <c r="E194" s="93"/>
      <c r="F194" s="93"/>
      <c r="G194" s="93"/>
      <c r="H194" s="93"/>
      <c r="I194" s="93"/>
      <c r="J194" s="93"/>
    </row>
    <row r="195" spans="1:10" x14ac:dyDescent="0.2">
      <c r="A195" s="93" t="s">
        <v>861</v>
      </c>
      <c r="B195" s="93" t="s">
        <v>858</v>
      </c>
      <c r="C195" s="144">
        <v>55</v>
      </c>
      <c r="D195" s="144">
        <f>(Output!C19+Output!L13)*$C$195*D172</f>
        <v>7425000</v>
      </c>
      <c r="E195" s="144">
        <f>(Output!D19+Output!M13)*$C$195*E172</f>
        <v>8575875</v>
      </c>
      <c r="F195" s="144">
        <f>(Output!E19+Output!N13)*$C$195*F172</f>
        <v>9823275.0000000019</v>
      </c>
      <c r="G195" s="144">
        <f>(Output!F19+Output!O13)*$C$195*G172</f>
        <v>11173975.312500004</v>
      </c>
      <c r="H195" s="144">
        <f>(Output!G19+Output!P13)*$C$195*H172</f>
        <v>12635187.468750007</v>
      </c>
      <c r="I195" s="144">
        <f>(Output!H19+Output!Q13)*$C$195*I172</f>
        <v>14214585.902343759</v>
      </c>
      <c r="J195" s="144">
        <f>(Output!I19+Output!R13)*$C$195*J172</f>
        <v>15920336.21062501</v>
      </c>
    </row>
    <row r="196" spans="1:10" x14ac:dyDescent="0.2">
      <c r="A196" s="93" t="s">
        <v>857</v>
      </c>
      <c r="B196" s="93" t="s">
        <v>858</v>
      </c>
      <c r="C196" s="144">
        <v>40</v>
      </c>
      <c r="D196" s="144">
        <f>Output!L13*$C$196*D172</f>
        <v>4320000</v>
      </c>
      <c r="E196" s="144">
        <f>Output!M13*$C$196*E172</f>
        <v>4989600</v>
      </c>
      <c r="F196" s="144">
        <f>Output!N13*$C$196*F172</f>
        <v>5715360.0000000009</v>
      </c>
      <c r="G196" s="144">
        <f>Output!O13*$C$196*G172</f>
        <v>6501222.0000000019</v>
      </c>
      <c r="H196" s="144">
        <f>Output!P13*$C$196*H172</f>
        <v>7351381.8000000035</v>
      </c>
      <c r="I196" s="144">
        <f>Output!Q13*$C$196*I172</f>
        <v>8270304.525000005</v>
      </c>
      <c r="J196" s="144">
        <f>Output!R13*$C$196*J172</f>
        <v>9262741.0680000056</v>
      </c>
    </row>
    <row r="197" spans="1:10" x14ac:dyDescent="0.2">
      <c r="A197" s="93" t="s">
        <v>859</v>
      </c>
      <c r="B197" s="93" t="s">
        <v>858</v>
      </c>
      <c r="C197" s="144">
        <v>700</v>
      </c>
      <c r="D197" s="144">
        <f>((Output!L13+Output!C19)*10%)*$C$197*D172</f>
        <v>9450000</v>
      </c>
      <c r="E197" s="144">
        <f>((Output!M13+Output!D19)*10%)*$C$197*E172</f>
        <v>10914750</v>
      </c>
      <c r="F197" s="144">
        <f>((Output!N13+Output!E19)*10%)*$C$197*F172</f>
        <v>12502350.000000002</v>
      </c>
      <c r="G197" s="144">
        <f>((Output!O13+Output!F19)*10%)*$C$197*G172</f>
        <v>14221423.125000004</v>
      </c>
      <c r="H197" s="144">
        <f>((Output!P13+Output!G19)*10%)*$C$197*H172</f>
        <v>16081147.687500009</v>
      </c>
      <c r="I197" s="144">
        <f>((Output!Q13+Output!H19)*10%)*$C$197*I172</f>
        <v>18091291.148437511</v>
      </c>
      <c r="J197" s="144">
        <f>((Output!R13+Output!I19)*10%)*$C$197*J172</f>
        <v>20262246.086250015</v>
      </c>
    </row>
    <row r="198" spans="1:10" x14ac:dyDescent="0.2">
      <c r="A198" s="93" t="s">
        <v>868</v>
      </c>
      <c r="B198" s="93" t="s">
        <v>869</v>
      </c>
      <c r="C198" s="144">
        <v>1</v>
      </c>
      <c r="D198" s="144">
        <f>((Output!C19+Output!L13)*3)*$C$198*D172</f>
        <v>405000</v>
      </c>
      <c r="E198" s="144">
        <f>((Output!D19+Output!M13)*3)*$C$198*E172</f>
        <v>467775</v>
      </c>
      <c r="F198" s="144">
        <f>((Output!E19+Output!N13)*3)*$C$198*F172</f>
        <v>535815.00000000012</v>
      </c>
      <c r="G198" s="144">
        <f>((Output!F19+Output!O13)*3)*$C$198*G172</f>
        <v>609489.56250000023</v>
      </c>
      <c r="H198" s="144">
        <f>((Output!G19+Output!P13)*3)*$C$198*H172</f>
        <v>689192.04375000042</v>
      </c>
      <c r="I198" s="144">
        <f>((Output!H19+Output!Q13)*3)*$C$198*I172</f>
        <v>775341.04921875056</v>
      </c>
      <c r="J198" s="144">
        <f>((Output!I19+Output!R13)*3)*$C$198*J172</f>
        <v>868381.97512500058</v>
      </c>
    </row>
    <row r="199" spans="1:10" x14ac:dyDescent="0.2">
      <c r="A199" s="93" t="s">
        <v>304</v>
      </c>
      <c r="B199" s="93">
        <v>10</v>
      </c>
      <c r="C199" s="93">
        <v>300</v>
      </c>
      <c r="D199" s="144">
        <f>Output!L9*$B$199*$C$199*D172</f>
        <v>405000</v>
      </c>
      <c r="E199" s="144">
        <f>Output!M9*$B$199*$C$199*E172</f>
        <v>467775</v>
      </c>
      <c r="F199" s="144">
        <f>Output!N9*$B$199*$C$199*F172</f>
        <v>535815.00000000012</v>
      </c>
      <c r="G199" s="144">
        <f>Output!O9*$B$199*$C$199*G172</f>
        <v>609489.56250000023</v>
      </c>
      <c r="H199" s="144">
        <f>Output!P9*$B$199*$C$199*H172</f>
        <v>689192.0437500003</v>
      </c>
      <c r="I199" s="144">
        <f>Output!Q9*$B$199*$C$199*I172</f>
        <v>775341.04921875033</v>
      </c>
      <c r="J199" s="144">
        <f>Output!R9*$B$199*$C$199*J172</f>
        <v>868381.97512500058</v>
      </c>
    </row>
    <row r="200" spans="1:10" x14ac:dyDescent="0.2">
      <c r="A200" s="93" t="s">
        <v>144</v>
      </c>
      <c r="B200" s="93">
        <f>200*0.746*8</f>
        <v>1193.5999999999999</v>
      </c>
      <c r="C200" s="93">
        <v>10</v>
      </c>
      <c r="D200" s="144">
        <f>Output!C9*$B$200*$C$200*D172</f>
        <v>1611360</v>
      </c>
      <c r="E200" s="144">
        <f>Output!D9*$B$200*$C$200*E172</f>
        <v>1861120.7999999998</v>
      </c>
      <c r="F200" s="144">
        <f>Output!E9*$B$200*$C$200*F172</f>
        <v>2131829.2800000003</v>
      </c>
      <c r="G200" s="144">
        <f>Output!F9*$B$200*$C$200*G172</f>
        <v>2424955.8060000003</v>
      </c>
      <c r="H200" s="144">
        <f>Output!G9*$B$200*$C$200*H172</f>
        <v>2742065.411400001</v>
      </c>
      <c r="I200" s="144">
        <f>Output!H9*$B$200*$C$200*I172</f>
        <v>3084823.5878250017</v>
      </c>
      <c r="J200" s="144">
        <f>Output!I9*$B$200*$C$200*J172</f>
        <v>3455002.4183640024</v>
      </c>
    </row>
    <row r="201" spans="1:10" x14ac:dyDescent="0.2">
      <c r="A201" s="93" t="s">
        <v>749</v>
      </c>
      <c r="B201" s="93"/>
      <c r="C201" s="125">
        <v>0.05</v>
      </c>
      <c r="D201" s="144">
        <f>'2.Capex Details'!$G$103*$C$201*D172</f>
        <v>585050.05000000005</v>
      </c>
      <c r="E201" s="144">
        <f>'2.Capex Details'!$G$103*$C$201*E172</f>
        <v>614302.55250000011</v>
      </c>
      <c r="F201" s="144">
        <f>'2.Capex Details'!$G$103*$C$201*F172</f>
        <v>645017.68012500007</v>
      </c>
      <c r="G201" s="144">
        <f>'2.Capex Details'!$G$103*$C$201*G172</f>
        <v>677268.56413125014</v>
      </c>
      <c r="H201" s="144">
        <f>'2.Capex Details'!$G$103*$C$201*H172</f>
        <v>711131.99233781267</v>
      </c>
      <c r="I201" s="144">
        <f>'2.Capex Details'!$G$103*$C$201*I172</f>
        <v>746688.59195470344</v>
      </c>
      <c r="J201" s="144">
        <f>'2.Capex Details'!$G$103*$C$201*J172</f>
        <v>784023.02155243861</v>
      </c>
    </row>
    <row r="202" spans="1:10" x14ac:dyDescent="0.2">
      <c r="A202" s="93" t="s">
        <v>288</v>
      </c>
      <c r="B202" s="93"/>
      <c r="C202" s="93">
        <v>40</v>
      </c>
      <c r="D202" s="144">
        <f>(SUM(Output!L12+Output!C19)/100)*$C$202*D172</f>
        <v>54000</v>
      </c>
      <c r="E202" s="144">
        <f>(SUM(Output!M12+Output!D19)/100)*$C$202*E172</f>
        <v>62370</v>
      </c>
      <c r="F202" s="144">
        <f>(SUM(Output!N12+Output!E19)/100)*$C$202*F172</f>
        <v>71442.000000000015</v>
      </c>
      <c r="G202" s="144">
        <f>(SUM(Output!O12+Output!F19)/100)*$C$202*G172</f>
        <v>81265.275000000023</v>
      </c>
      <c r="H202" s="144">
        <f>(SUM(Output!P12+Output!G19)/100)*$C$202*H172</f>
        <v>91892.27250000005</v>
      </c>
      <c r="I202" s="144">
        <f>(SUM(Output!Q12+Output!H19)/100)*$C$202*I172</f>
        <v>103378.80656250006</v>
      </c>
      <c r="J202" s="144">
        <f>(SUM(Output!R12+Output!I19)/100)*$C$202*J172</f>
        <v>115784.26335000005</v>
      </c>
    </row>
    <row r="203" spans="1:10" x14ac:dyDescent="0.2">
      <c r="A203" s="98" t="s">
        <v>881</v>
      </c>
      <c r="B203" s="93"/>
      <c r="C203" s="93"/>
      <c r="D203" s="144"/>
      <c r="E203" s="144"/>
      <c r="F203" s="144"/>
      <c r="G203" s="144"/>
      <c r="H203" s="144"/>
      <c r="I203" s="144"/>
      <c r="J203" s="144"/>
    </row>
    <row r="204" spans="1:10" x14ac:dyDescent="0.2">
      <c r="A204" s="93" t="s">
        <v>860</v>
      </c>
      <c r="B204" s="93"/>
      <c r="C204" s="93">
        <v>15</v>
      </c>
      <c r="D204" s="144">
        <f>((Output!L22*1000)/750)*$C$204*D172</f>
        <v>3078000</v>
      </c>
      <c r="E204" s="144">
        <f>((Output!M22*1000)/750)*$C$204*E172</f>
        <v>3555090</v>
      </c>
      <c r="F204" s="144">
        <f>((Output!N22*1000)/750)*$C$204*F172</f>
        <v>4072194.0000000019</v>
      </c>
      <c r="G204" s="144">
        <f>((Output!O22*1000)/750)*$C$204*G172</f>
        <v>4632120.6750000017</v>
      </c>
      <c r="H204" s="144">
        <f>((Output!P22*1000)/750)*$C$204*H172</f>
        <v>5237859.5325000035</v>
      </c>
      <c r="I204" s="144">
        <f>((Output!Q22*1000)/750)*$C$204*I172</f>
        <v>5892591.9740625042</v>
      </c>
      <c r="J204" s="144">
        <f>((Output!R22*1000)/750)*$C$204*J172</f>
        <v>6599703.0109500047</v>
      </c>
    </row>
    <row r="205" spans="1:10" x14ac:dyDescent="0.2">
      <c r="A205" s="93" t="s">
        <v>879</v>
      </c>
      <c r="B205" s="93"/>
      <c r="C205" s="93">
        <v>10</v>
      </c>
      <c r="D205" s="144">
        <f>$C$205*Output!C15*D172</f>
        <v>1687500</v>
      </c>
      <c r="E205" s="144">
        <f>$C$205*Output!D15*E172</f>
        <v>1949062.5</v>
      </c>
      <c r="F205" s="144">
        <f>$C$205*Output!E15*F172</f>
        <v>2232562.5000000005</v>
      </c>
      <c r="G205" s="144">
        <f>$C$205*Output!F15*G172</f>
        <v>2539539.8437500009</v>
      </c>
      <c r="H205" s="144">
        <f>$C$205*Output!G15*H172</f>
        <v>2871633.5156250009</v>
      </c>
      <c r="I205" s="144">
        <f>$C$205*Output!H15*I172</f>
        <v>3230587.7050781269</v>
      </c>
      <c r="J205" s="144">
        <f>$C$205*Output!I15*J172</f>
        <v>3618258.2296875017</v>
      </c>
    </row>
    <row r="206" spans="1:10" x14ac:dyDescent="0.2">
      <c r="A206" s="93" t="s">
        <v>880</v>
      </c>
      <c r="B206" s="93"/>
      <c r="C206" s="93">
        <v>15</v>
      </c>
      <c r="D206" s="144">
        <f>$C$206*Output!C16*D172</f>
        <v>1012500</v>
      </c>
      <c r="E206" s="144">
        <f>$C$206*Output!D16*E172</f>
        <v>1169437.5</v>
      </c>
      <c r="F206" s="144">
        <f>$C$206*Output!E16*F172</f>
        <v>1339537.5000000002</v>
      </c>
      <c r="G206" s="144">
        <f>$C$206*Output!F16*G172</f>
        <v>1523723.9062500005</v>
      </c>
      <c r="H206" s="144">
        <f>$C$206*Output!G16*H172</f>
        <v>1722980.1093750007</v>
      </c>
      <c r="I206" s="144">
        <f>$C$206*Output!H16*I172</f>
        <v>1938352.6230468762</v>
      </c>
      <c r="J206" s="144">
        <f>$C$206*Output!I16*J172</f>
        <v>2170954.9378125011</v>
      </c>
    </row>
    <row r="207" spans="1:10" x14ac:dyDescent="0.2">
      <c r="A207" s="93" t="s">
        <v>866</v>
      </c>
      <c r="B207" s="93"/>
      <c r="C207" s="93">
        <v>600</v>
      </c>
      <c r="D207" s="144">
        <f>((Output!L12+Output!C19)/100)*$C$207*D172</f>
        <v>810000</v>
      </c>
      <c r="E207" s="144">
        <f>((Output!M12+Output!D19)/100)*$C$207*E172</f>
        <v>935550</v>
      </c>
      <c r="F207" s="144">
        <f>((Output!N12+Output!E19)/100)*$C$207*F172</f>
        <v>1071630.0000000002</v>
      </c>
      <c r="G207" s="144">
        <f>((Output!O12+Output!F19)/100)*$C$207*G172</f>
        <v>1218979.1250000005</v>
      </c>
      <c r="H207" s="144">
        <f>((Output!P12+Output!G19)/100)*$C$207*H172</f>
        <v>1378384.0875000008</v>
      </c>
      <c r="I207" s="144">
        <f>((Output!Q12+Output!H19)/100)*$C$207*I172</f>
        <v>1550682.0984375011</v>
      </c>
      <c r="J207" s="144">
        <f>((Output!R12+Output!I19)/100)*$C$207*J172</f>
        <v>1736763.9502500009</v>
      </c>
    </row>
    <row r="208" spans="1:10" x14ac:dyDescent="0.2">
      <c r="A208" s="93" t="s">
        <v>867</v>
      </c>
      <c r="B208" s="93"/>
      <c r="C208" s="93">
        <v>10</v>
      </c>
      <c r="D208" s="144">
        <f>(((Output!C12+Output!L22)*1000)/750)*$C$208*D172</f>
        <v>2952000</v>
      </c>
      <c r="E208" s="144">
        <f>(((Output!D12+Output!M22)*1000)/750)*$C$208*E172</f>
        <v>3409560</v>
      </c>
      <c r="F208" s="144">
        <f>(((Output!E12+Output!N22)*1000)/750)*$C$208*F172</f>
        <v>3905496.0000000005</v>
      </c>
      <c r="G208" s="144">
        <f>(((Output!F12+Output!O22)*1000)/750)*$C$208*G172</f>
        <v>4442501.7000000011</v>
      </c>
      <c r="H208" s="144">
        <f>(((Output!G12+Output!P22)*1000)/750)*$C$208*H172</f>
        <v>5023444.2300000032</v>
      </c>
      <c r="I208" s="144">
        <f>(((Output!H12+Output!Q22)*1000)/750)*$C$208*I172</f>
        <v>5651374.7587500038</v>
      </c>
      <c r="J208" s="144">
        <f>(((Output!I12+Output!R22)*1000)/750)*$C$208*J172</f>
        <v>6329539.7298000045</v>
      </c>
    </row>
    <row r="209" spans="1:19" x14ac:dyDescent="0.2">
      <c r="A209" s="93"/>
      <c r="B209" s="93"/>
      <c r="C209" s="93"/>
      <c r="D209" s="145"/>
      <c r="E209" s="93"/>
      <c r="F209" s="93"/>
      <c r="G209" s="93"/>
      <c r="H209" s="93"/>
      <c r="I209" s="93"/>
      <c r="J209" s="93"/>
      <c r="K209" s="92">
        <f>63/0.746</f>
        <v>84.450402144772113</v>
      </c>
      <c r="L209" s="146">
        <f t="shared" ref="L209:S209" si="33">SUM(D195:D209)</f>
        <v>33795410.049999997</v>
      </c>
      <c r="M209" s="146">
        <f t="shared" si="33"/>
        <v>38972268.352499999</v>
      </c>
      <c r="N209" s="146">
        <f t="shared" si="33"/>
        <v>44582323.960125014</v>
      </c>
      <c r="O209" s="146">
        <f t="shared" si="33"/>
        <v>50655954.457631268</v>
      </c>
      <c r="P209" s="146">
        <f t="shared" si="33"/>
        <v>57225492.194987848</v>
      </c>
      <c r="Q209" s="146">
        <f t="shared" si="33"/>
        <v>64325343.819935985</v>
      </c>
      <c r="R209" s="146">
        <f t="shared" si="33"/>
        <v>71992116.876891494</v>
      </c>
      <c r="S209" s="146">
        <f t="shared" si="33"/>
        <v>84.450402144772113</v>
      </c>
    </row>
    <row r="210" spans="1:19" x14ac:dyDescent="0.2">
      <c r="A210" s="93"/>
      <c r="B210" s="93"/>
      <c r="C210" s="93"/>
      <c r="D210" s="93"/>
      <c r="E210" s="93"/>
      <c r="F210" s="93"/>
      <c r="G210" s="93"/>
      <c r="H210" s="93"/>
      <c r="I210" s="93"/>
      <c r="J210" s="93"/>
    </row>
    <row r="211" spans="1:19" x14ac:dyDescent="0.2">
      <c r="A211" s="93" t="s">
        <v>334</v>
      </c>
      <c r="B211" s="93"/>
      <c r="C211" s="93"/>
      <c r="D211" s="140"/>
      <c r="E211" s="140">
        <f>'5.Closing Stock &amp; W Capital'!F7</f>
        <v>675908.201</v>
      </c>
      <c r="F211" s="140">
        <f>'5.Closing Stock &amp; W Capital'!G7</f>
        <v>779445.36705</v>
      </c>
      <c r="G211" s="140">
        <f>'5.Closing Stock &amp; W Capital'!H7</f>
        <v>891646.47920250031</v>
      </c>
      <c r="H211" s="140">
        <f>'5.Closing Stock &amp; W Capital'!I7</f>
        <v>1013119.0891526254</v>
      </c>
      <c r="I211" s="140">
        <f>'5.Closing Stock &amp; W Capital'!J7</f>
        <v>1144509.8438997569</v>
      </c>
      <c r="J211" s="140">
        <f>'5.Closing Stock &amp; W Capital'!K7</f>
        <v>1286506.8763987196</v>
      </c>
    </row>
    <row r="212" spans="1:19" x14ac:dyDescent="0.2">
      <c r="A212" s="93" t="s">
        <v>335</v>
      </c>
      <c r="B212" s="93"/>
      <c r="C212" s="140"/>
      <c r="D212" s="140">
        <f>'5.Closing Stock &amp; W Capital'!E16</f>
        <v>675908.201</v>
      </c>
      <c r="E212" s="140">
        <f>'5.Closing Stock &amp; W Capital'!F16</f>
        <v>779445.36705</v>
      </c>
      <c r="F212" s="140">
        <f>'5.Closing Stock &amp; W Capital'!G16</f>
        <v>891646.47920250031</v>
      </c>
      <c r="G212" s="140">
        <f>'5.Closing Stock &amp; W Capital'!H16</f>
        <v>1013119.0891526254</v>
      </c>
      <c r="H212" s="140">
        <f>'5.Closing Stock &amp; W Capital'!I16</f>
        <v>1144509.8438997569</v>
      </c>
      <c r="I212" s="140">
        <f>'5.Closing Stock &amp; W Capital'!J16</f>
        <v>1286506.8763987196</v>
      </c>
      <c r="J212" s="140">
        <f>'5.Closing Stock &amp; W Capital'!K16</f>
        <v>1439842.33753783</v>
      </c>
    </row>
    <row r="213" spans="1:19" x14ac:dyDescent="0.2">
      <c r="A213" s="93"/>
      <c r="B213" s="93"/>
      <c r="C213" s="145"/>
      <c r="D213" s="140"/>
      <c r="E213" s="140"/>
      <c r="F213" s="140"/>
      <c r="G213" s="140"/>
      <c r="H213" s="140"/>
      <c r="I213" s="140"/>
      <c r="J213" s="140"/>
    </row>
    <row r="214" spans="1:19" x14ac:dyDescent="0.2">
      <c r="A214" s="98" t="s">
        <v>312</v>
      </c>
      <c r="B214" s="98"/>
      <c r="C214" s="98"/>
      <c r="D214" s="142">
        <f t="shared" ref="D214:J214" si="34">SUM(D195:D211)-D212</f>
        <v>33119501.848999996</v>
      </c>
      <c r="E214" s="142">
        <f t="shared" si="34"/>
        <v>38868731.186449997</v>
      </c>
      <c r="F214" s="142">
        <f t="shared" si="34"/>
        <v>44470122.847972512</v>
      </c>
      <c r="G214" s="142">
        <f t="shared" si="34"/>
        <v>50534481.847681142</v>
      </c>
      <c r="H214" s="142">
        <f t="shared" si="34"/>
        <v>57094101.440240718</v>
      </c>
      <c r="I214" s="142">
        <f t="shared" si="34"/>
        <v>64183346.787437022</v>
      </c>
      <c r="J214" s="142">
        <f t="shared" si="34"/>
        <v>71838781.415752381</v>
      </c>
    </row>
    <row r="215" spans="1:19" x14ac:dyDescent="0.2">
      <c r="A215" s="98" t="s">
        <v>305</v>
      </c>
      <c r="B215" s="93"/>
      <c r="C215" s="93"/>
      <c r="D215" s="94"/>
      <c r="E215" s="94"/>
      <c r="F215" s="94"/>
      <c r="G215" s="94"/>
      <c r="H215" s="94"/>
      <c r="I215" s="93"/>
      <c r="J215" s="93"/>
    </row>
    <row r="216" spans="1:19" x14ac:dyDescent="0.2">
      <c r="A216" s="93" t="s">
        <v>185</v>
      </c>
      <c r="B216" s="93">
        <v>2</v>
      </c>
      <c r="C216" s="144">
        <v>25000</v>
      </c>
      <c r="D216" s="144">
        <f>$B216*$C216*12*D$172</f>
        <v>600000</v>
      </c>
      <c r="E216" s="144">
        <f t="shared" ref="E216:J218" si="35">$B216*$C216*12*E$172</f>
        <v>630000</v>
      </c>
      <c r="F216" s="144">
        <f t="shared" si="35"/>
        <v>661500</v>
      </c>
      <c r="G216" s="144">
        <f t="shared" si="35"/>
        <v>694575.00000000012</v>
      </c>
      <c r="H216" s="144">
        <f t="shared" si="35"/>
        <v>729303.75000000012</v>
      </c>
      <c r="I216" s="144">
        <f t="shared" si="35"/>
        <v>765768.93750000023</v>
      </c>
      <c r="J216" s="144">
        <f t="shared" si="35"/>
        <v>804057.38437500026</v>
      </c>
    </row>
    <row r="217" spans="1:19" x14ac:dyDescent="0.2">
      <c r="A217" s="93" t="s">
        <v>190</v>
      </c>
      <c r="B217" s="93">
        <v>4</v>
      </c>
      <c r="C217" s="144">
        <v>15000</v>
      </c>
      <c r="D217" s="144">
        <f>$B217*$C217*12*D$172</f>
        <v>720000</v>
      </c>
      <c r="E217" s="144">
        <f t="shared" si="35"/>
        <v>756000</v>
      </c>
      <c r="F217" s="144">
        <f t="shared" si="35"/>
        <v>793800</v>
      </c>
      <c r="G217" s="144">
        <f t="shared" si="35"/>
        <v>833490.00000000012</v>
      </c>
      <c r="H217" s="144">
        <f t="shared" si="35"/>
        <v>875164.50000000012</v>
      </c>
      <c r="I217" s="144">
        <f t="shared" si="35"/>
        <v>918922.72500000021</v>
      </c>
      <c r="J217" s="144">
        <f t="shared" si="35"/>
        <v>964868.86125000031</v>
      </c>
      <c r="N217" s="147"/>
    </row>
    <row r="218" spans="1:19" x14ac:dyDescent="0.2">
      <c r="A218" s="93" t="s">
        <v>862</v>
      </c>
      <c r="B218" s="93">
        <v>2</v>
      </c>
      <c r="C218" s="144">
        <v>12000</v>
      </c>
      <c r="D218" s="144">
        <f>$B218*$C218*12*D$172</f>
        <v>288000</v>
      </c>
      <c r="E218" s="144">
        <f t="shared" si="35"/>
        <v>302400</v>
      </c>
      <c r="F218" s="144">
        <f t="shared" si="35"/>
        <v>317520</v>
      </c>
      <c r="G218" s="144">
        <f t="shared" si="35"/>
        <v>333396.00000000006</v>
      </c>
      <c r="H218" s="144">
        <f t="shared" si="35"/>
        <v>350065.80000000005</v>
      </c>
      <c r="I218" s="144">
        <f t="shared" si="35"/>
        <v>367569.09000000008</v>
      </c>
      <c r="J218" s="144">
        <f t="shared" si="35"/>
        <v>385947.54450000013</v>
      </c>
    </row>
    <row r="219" spans="1:19" x14ac:dyDescent="0.2">
      <c r="A219" s="93"/>
      <c r="B219" s="93"/>
      <c r="C219" s="144"/>
      <c r="D219" s="144"/>
      <c r="E219" s="144"/>
      <c r="F219" s="144"/>
      <c r="G219" s="144"/>
      <c r="H219" s="144"/>
      <c r="I219" s="144"/>
      <c r="J219" s="144"/>
    </row>
    <row r="220" spans="1:19" x14ac:dyDescent="0.2">
      <c r="A220" s="93"/>
      <c r="B220" s="93"/>
      <c r="C220" s="144"/>
      <c r="D220" s="144"/>
      <c r="E220" s="144"/>
      <c r="F220" s="144"/>
      <c r="G220" s="144"/>
      <c r="H220" s="144"/>
      <c r="I220" s="144"/>
      <c r="J220" s="144"/>
    </row>
    <row r="221" spans="1:19" x14ac:dyDescent="0.2">
      <c r="A221" s="98" t="s">
        <v>316</v>
      </c>
      <c r="B221" s="98"/>
      <c r="C221" s="98"/>
      <c r="D221" s="142">
        <f t="shared" ref="D221:J221" si="36">SUM(D216:D220)</f>
        <v>1608000</v>
      </c>
      <c r="E221" s="142">
        <f t="shared" si="36"/>
        <v>1688400</v>
      </c>
      <c r="F221" s="142">
        <f t="shared" si="36"/>
        <v>1772820</v>
      </c>
      <c r="G221" s="142">
        <f t="shared" si="36"/>
        <v>1861461.0000000002</v>
      </c>
      <c r="H221" s="142">
        <f t="shared" si="36"/>
        <v>1954534.0500000003</v>
      </c>
      <c r="I221" s="142">
        <f t="shared" si="36"/>
        <v>2052260.7525000006</v>
      </c>
      <c r="J221" s="142">
        <f t="shared" si="36"/>
        <v>2154873.7901250008</v>
      </c>
      <c r="N221" s="147"/>
    </row>
    <row r="222" spans="1:19" x14ac:dyDescent="0.2">
      <c r="A222" s="98" t="s">
        <v>129</v>
      </c>
      <c r="B222" s="98"/>
      <c r="C222" s="98"/>
      <c r="D222" s="142">
        <f t="shared" ref="D222:J222" si="37">D214+D221</f>
        <v>34727501.848999992</v>
      </c>
      <c r="E222" s="142">
        <f t="shared" si="37"/>
        <v>40557131.186449997</v>
      </c>
      <c r="F222" s="142">
        <f t="shared" si="37"/>
        <v>46242942.847972512</v>
      </c>
      <c r="G222" s="142">
        <f t="shared" si="37"/>
        <v>52395942.847681142</v>
      </c>
      <c r="H222" s="142">
        <f t="shared" si="37"/>
        <v>59048635.490240715</v>
      </c>
      <c r="I222" s="142">
        <f t="shared" si="37"/>
        <v>66235607.539937019</v>
      </c>
      <c r="J222" s="142">
        <f t="shared" si="37"/>
        <v>73993655.205877379</v>
      </c>
    </row>
    <row r="223" spans="1:19" x14ac:dyDescent="0.2">
      <c r="A223" s="93"/>
      <c r="B223" s="93"/>
      <c r="C223" s="93"/>
      <c r="D223" s="94"/>
      <c r="E223" s="94"/>
      <c r="F223" s="94"/>
      <c r="G223" s="94"/>
      <c r="H223" s="94"/>
      <c r="I223" s="93"/>
      <c r="J223" s="93"/>
    </row>
    <row r="224" spans="1:19" x14ac:dyDescent="0.2">
      <c r="A224" s="98"/>
      <c r="B224" s="98"/>
      <c r="C224" s="98"/>
      <c r="D224" s="94"/>
      <c r="E224" s="94"/>
      <c r="F224" s="94"/>
      <c r="G224" s="94"/>
      <c r="H224" s="94"/>
      <c r="I224" s="93"/>
      <c r="J224" s="93"/>
    </row>
    <row r="225" spans="1:10" x14ac:dyDescent="0.2">
      <c r="A225" s="98" t="s">
        <v>308</v>
      </c>
      <c r="B225" s="98"/>
      <c r="C225" s="98"/>
      <c r="D225" s="142">
        <f t="shared" ref="D225:J225" si="38">D191-D222</f>
        <v>6814698.151000008</v>
      </c>
      <c r="E225" s="142">
        <f t="shared" si="38"/>
        <v>8314299.8135500029</v>
      </c>
      <c r="F225" s="142">
        <f t="shared" si="38"/>
        <v>9745557.2020274997</v>
      </c>
      <c r="G225" s="142">
        <f t="shared" si="38"/>
        <v>11299154.579818882</v>
      </c>
      <c r="H225" s="142">
        <f t="shared" si="38"/>
        <v>12983747.802384309</v>
      </c>
      <c r="I225" s="142">
        <f t="shared" si="38"/>
        <v>14808552.460756779</v>
      </c>
      <c r="J225" s="142">
        <f t="shared" si="38"/>
        <v>16783378.215460494</v>
      </c>
    </row>
    <row r="227" spans="1:10" x14ac:dyDescent="0.2">
      <c r="A227" s="92" t="s">
        <v>50</v>
      </c>
    </row>
    <row r="228" spans="1:10" x14ac:dyDescent="0.2">
      <c r="A228" s="429" t="s">
        <v>409</v>
      </c>
      <c r="B228" s="429"/>
      <c r="C228" s="429"/>
      <c r="D228" s="429"/>
      <c r="E228" s="429"/>
      <c r="F228" s="429"/>
      <c r="G228" s="429"/>
      <c r="H228" s="429"/>
      <c r="I228" s="429"/>
      <c r="J228" s="429"/>
    </row>
    <row r="230" spans="1:10" x14ac:dyDescent="0.2">
      <c r="A230" s="92" t="s">
        <v>527</v>
      </c>
    </row>
    <row r="231" spans="1:10" x14ac:dyDescent="0.2">
      <c r="A231" s="92">
        <v>1</v>
      </c>
      <c r="B231" s="92" t="s">
        <v>540</v>
      </c>
    </row>
    <row r="232" spans="1:10" x14ac:dyDescent="0.2">
      <c r="A232" s="92">
        <v>2</v>
      </c>
      <c r="B232" s="92" t="s">
        <v>541</v>
      </c>
    </row>
    <row r="233" spans="1:10" x14ac:dyDescent="0.2">
      <c r="A233" s="92">
        <v>3</v>
      </c>
      <c r="B233" s="92" t="s">
        <v>592</v>
      </c>
    </row>
  </sheetData>
  <mergeCells count="5">
    <mergeCell ref="A170:J170"/>
    <mergeCell ref="A2:H2"/>
    <mergeCell ref="A228:J228"/>
    <mergeCell ref="F4:H4"/>
    <mergeCell ref="A3:H3"/>
  </mergeCells>
  <pageMargins left="0.7" right="0.7" top="0.75" bottom="0.75" header="0.3" footer="0.3"/>
  <pageSetup paperSize="9" scale="5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3:L196"/>
  <sheetViews>
    <sheetView view="pageBreakPreview" zoomScale="80" zoomScaleSheetLayoutView="80" workbookViewId="0">
      <selection activeCell="E10" sqref="E10"/>
    </sheetView>
  </sheetViews>
  <sheetFormatPr defaultColWidth="8.7421875" defaultRowHeight="15" x14ac:dyDescent="0.2"/>
  <cols>
    <col min="1" max="1" width="41.69921875" style="92" bestFit="1" customWidth="1"/>
    <col min="2" max="2" width="10.4921875" style="92" customWidth="1"/>
    <col min="3" max="3" width="10.4921875" style="92" bestFit="1" customWidth="1"/>
    <col min="4" max="4" width="15.19921875" style="92" customWidth="1"/>
    <col min="5" max="8" width="17.21875" style="92" customWidth="1"/>
    <col min="9" max="10" width="16.8125" style="92" bestFit="1" customWidth="1"/>
    <col min="11" max="12" width="11.703125" style="92" bestFit="1" customWidth="1"/>
    <col min="13" max="14" width="8.7421875" style="92"/>
    <col min="15" max="15" width="10.22265625" style="92" bestFit="1" customWidth="1"/>
    <col min="16" max="16384" width="8.7421875" style="92"/>
  </cols>
  <sheetData>
    <row r="3" spans="1:8" ht="18.75" x14ac:dyDescent="0.25">
      <c r="A3" s="427" t="s">
        <v>576</v>
      </c>
      <c r="B3" s="427"/>
      <c r="C3" s="427"/>
      <c r="D3" s="427"/>
      <c r="E3" s="427"/>
      <c r="F3" s="427"/>
      <c r="G3" s="427"/>
      <c r="H3" s="427"/>
    </row>
    <row r="4" spans="1:8" ht="18.75" x14ac:dyDescent="0.25">
      <c r="A4" s="427" t="s">
        <v>577</v>
      </c>
      <c r="B4" s="427"/>
      <c r="C4" s="427"/>
      <c r="D4" s="427"/>
      <c r="E4" s="427"/>
      <c r="F4" s="427"/>
      <c r="G4" s="427"/>
      <c r="H4" s="427"/>
    </row>
    <row r="5" spans="1:8" x14ac:dyDescent="0.2">
      <c r="A5" s="92" t="s">
        <v>160</v>
      </c>
      <c r="B5" s="122">
        <f>200/100</f>
        <v>2</v>
      </c>
      <c r="C5" s="92" t="s">
        <v>457</v>
      </c>
    </row>
    <row r="6" spans="1:8" x14ac:dyDescent="0.2">
      <c r="A6" s="92" t="s">
        <v>161</v>
      </c>
      <c r="B6" s="124">
        <v>8</v>
      </c>
    </row>
    <row r="7" spans="1:8" x14ac:dyDescent="0.2">
      <c r="B7" s="124"/>
    </row>
    <row r="8" spans="1:8" x14ac:dyDescent="0.2">
      <c r="B8" s="124"/>
    </row>
    <row r="11" spans="1:8" x14ac:dyDescent="0.2">
      <c r="A11" s="123" t="s">
        <v>0</v>
      </c>
      <c r="B11" s="139" t="s">
        <v>2</v>
      </c>
      <c r="C11" s="139" t="s">
        <v>3</v>
      </c>
      <c r="D11" s="139" t="s">
        <v>4</v>
      </c>
      <c r="E11" s="139" t="s">
        <v>5</v>
      </c>
      <c r="F11" s="139" t="s">
        <v>6</v>
      </c>
      <c r="G11" s="139" t="s">
        <v>168</v>
      </c>
      <c r="H11" s="139" t="s">
        <v>167</v>
      </c>
    </row>
    <row r="12" spans="1:8" x14ac:dyDescent="0.2">
      <c r="A12" s="93" t="s">
        <v>169</v>
      </c>
      <c r="B12" s="384">
        <f>B32/($B$5*$B$6)</f>
        <v>0</v>
      </c>
      <c r="C12" s="384">
        <f t="shared" ref="C12:H12" si="0">C32/($B$5*$B$6)</f>
        <v>0</v>
      </c>
      <c r="D12" s="384">
        <f t="shared" si="0"/>
        <v>0</v>
      </c>
      <c r="E12" s="384">
        <f t="shared" si="0"/>
        <v>0</v>
      </c>
      <c r="F12" s="384">
        <f t="shared" si="0"/>
        <v>0</v>
      </c>
      <c r="G12" s="384">
        <f t="shared" si="0"/>
        <v>0</v>
      </c>
      <c r="H12" s="384">
        <f t="shared" si="0"/>
        <v>0</v>
      </c>
    </row>
    <row r="13" spans="1:8" x14ac:dyDescent="0.2">
      <c r="A13" s="93" t="str">
        <f>'10.Grain Production details'!A67</f>
        <v>Soybean</v>
      </c>
      <c r="B13" s="93">
        <f>'10.Grain Production details'!B67</f>
        <v>0</v>
      </c>
      <c r="C13" s="93">
        <f>'10.Grain Production details'!C67</f>
        <v>0</v>
      </c>
      <c r="D13" s="93">
        <f>'10.Grain Production details'!D67</f>
        <v>0</v>
      </c>
      <c r="E13" s="93">
        <f>'10.Grain Production details'!E67</f>
        <v>0</v>
      </c>
      <c r="F13" s="93">
        <f>'10.Grain Production details'!F67</f>
        <v>0</v>
      </c>
      <c r="G13" s="93">
        <f>'10.Grain Production details'!G67</f>
        <v>0</v>
      </c>
      <c r="H13" s="93">
        <f>'10.Grain Production details'!H67</f>
        <v>0</v>
      </c>
    </row>
    <row r="14" spans="1:8" x14ac:dyDescent="0.2">
      <c r="A14" s="93" t="str">
        <f>'10.Grain Production details'!A68</f>
        <v>Red Gram/Tur</v>
      </c>
      <c r="B14" s="93">
        <f>'10.Grain Production details'!B68</f>
        <v>0</v>
      </c>
      <c r="C14" s="93">
        <f>'10.Grain Production details'!C68</f>
        <v>0</v>
      </c>
      <c r="D14" s="93">
        <f>'10.Grain Production details'!D68</f>
        <v>0</v>
      </c>
      <c r="E14" s="93">
        <f>'10.Grain Production details'!E68</f>
        <v>0</v>
      </c>
      <c r="F14" s="93">
        <f>'10.Grain Production details'!F68</f>
        <v>0</v>
      </c>
      <c r="G14" s="93">
        <f>'10.Grain Production details'!G68</f>
        <v>0</v>
      </c>
      <c r="H14" s="93">
        <f>'10.Grain Production details'!H68</f>
        <v>0</v>
      </c>
    </row>
    <row r="15" spans="1:8" x14ac:dyDescent="0.2">
      <c r="A15" s="93" t="str">
        <f>'10.Grain Production details'!A69</f>
        <v>Paddy/Rice</v>
      </c>
      <c r="B15" s="93">
        <f>'10.Grain Production details'!B69</f>
        <v>0</v>
      </c>
      <c r="C15" s="93">
        <f>'10.Grain Production details'!C69</f>
        <v>0</v>
      </c>
      <c r="D15" s="93">
        <f>'10.Grain Production details'!D69</f>
        <v>0</v>
      </c>
      <c r="E15" s="93">
        <f>'10.Grain Production details'!E69</f>
        <v>0</v>
      </c>
      <c r="F15" s="93">
        <f>'10.Grain Production details'!F69</f>
        <v>0</v>
      </c>
      <c r="G15" s="93">
        <f>'10.Grain Production details'!G69</f>
        <v>0</v>
      </c>
      <c r="H15" s="93">
        <f>'10.Grain Production details'!H69</f>
        <v>0</v>
      </c>
    </row>
    <row r="16" spans="1:8" x14ac:dyDescent="0.2">
      <c r="A16" s="93" t="str">
        <f>'10.Grain Production details'!A70</f>
        <v>Green Gram/ Moong</v>
      </c>
      <c r="B16" s="93">
        <f>'10.Grain Production details'!B70</f>
        <v>0</v>
      </c>
      <c r="C16" s="93">
        <f>'10.Grain Production details'!C70</f>
        <v>0</v>
      </c>
      <c r="D16" s="93">
        <f>'10.Grain Production details'!D70</f>
        <v>0</v>
      </c>
      <c r="E16" s="93">
        <f>'10.Grain Production details'!E70</f>
        <v>0</v>
      </c>
      <c r="F16" s="93">
        <f>'10.Grain Production details'!F70</f>
        <v>0</v>
      </c>
      <c r="G16" s="93">
        <f>'10.Grain Production details'!G70</f>
        <v>0</v>
      </c>
      <c r="H16" s="93">
        <f>'10.Grain Production details'!H70</f>
        <v>0</v>
      </c>
    </row>
    <row r="17" spans="1:8" x14ac:dyDescent="0.2">
      <c r="A17" s="93" t="str">
        <f>'10.Grain Production details'!A71</f>
        <v>Maize</v>
      </c>
      <c r="B17" s="93">
        <f>'10.Grain Production details'!B71</f>
        <v>0</v>
      </c>
      <c r="C17" s="93">
        <f>'10.Grain Production details'!C71</f>
        <v>0</v>
      </c>
      <c r="D17" s="93">
        <f>'10.Grain Production details'!D71</f>
        <v>0</v>
      </c>
      <c r="E17" s="93">
        <f>'10.Grain Production details'!E71</f>
        <v>0</v>
      </c>
      <c r="F17" s="93">
        <f>'10.Grain Production details'!F71</f>
        <v>0</v>
      </c>
      <c r="G17" s="93">
        <f>'10.Grain Production details'!G71</f>
        <v>0</v>
      </c>
      <c r="H17" s="93">
        <f>'10.Grain Production details'!H71</f>
        <v>0</v>
      </c>
    </row>
    <row r="18" spans="1:8" x14ac:dyDescent="0.2">
      <c r="A18" s="93" t="str">
        <f>'10.Grain Production details'!A72</f>
        <v>Black Gram/Udid</v>
      </c>
      <c r="B18" s="93">
        <f>'10.Grain Production details'!B72</f>
        <v>0</v>
      </c>
      <c r="C18" s="93">
        <f>'10.Grain Production details'!C72</f>
        <v>0</v>
      </c>
      <c r="D18" s="93">
        <f>'10.Grain Production details'!D72</f>
        <v>0</v>
      </c>
      <c r="E18" s="93">
        <f>'10.Grain Production details'!E72</f>
        <v>0</v>
      </c>
      <c r="F18" s="93">
        <f>'10.Grain Production details'!F72</f>
        <v>0</v>
      </c>
      <c r="G18" s="93">
        <f>'10.Grain Production details'!G72</f>
        <v>0</v>
      </c>
      <c r="H18" s="93">
        <f>'10.Grain Production details'!H72</f>
        <v>0</v>
      </c>
    </row>
    <row r="19" spans="1:8" x14ac:dyDescent="0.2">
      <c r="A19" s="93" t="str">
        <f>'10.Grain Production details'!A73</f>
        <v>Bajra</v>
      </c>
      <c r="B19" s="93">
        <f>'10.Grain Production details'!B73</f>
        <v>0</v>
      </c>
      <c r="C19" s="93">
        <f>'10.Grain Production details'!C73</f>
        <v>0</v>
      </c>
      <c r="D19" s="93">
        <f>'10.Grain Production details'!D73</f>
        <v>0</v>
      </c>
      <c r="E19" s="93">
        <f>'10.Grain Production details'!E73</f>
        <v>0</v>
      </c>
      <c r="F19" s="93">
        <f>'10.Grain Production details'!F73</f>
        <v>0</v>
      </c>
      <c r="G19" s="93">
        <f>'10.Grain Production details'!G73</f>
        <v>0</v>
      </c>
      <c r="H19" s="93">
        <f>'10.Grain Production details'!H73</f>
        <v>0</v>
      </c>
    </row>
    <row r="20" spans="1:8" x14ac:dyDescent="0.2">
      <c r="A20" s="93" t="str">
        <f>'10.Grain Production details'!A74</f>
        <v>Jawar</v>
      </c>
      <c r="B20" s="93">
        <f>'10.Grain Production details'!B74</f>
        <v>0</v>
      </c>
      <c r="C20" s="93">
        <f>'10.Grain Production details'!C74</f>
        <v>0</v>
      </c>
      <c r="D20" s="93">
        <f>'10.Grain Production details'!D74</f>
        <v>0</v>
      </c>
      <c r="E20" s="93">
        <f>'10.Grain Production details'!E74</f>
        <v>0</v>
      </c>
      <c r="F20" s="93">
        <f>'10.Grain Production details'!F74</f>
        <v>0</v>
      </c>
      <c r="G20" s="93">
        <f>'10.Grain Production details'!G74</f>
        <v>0</v>
      </c>
      <c r="H20" s="93">
        <f>'10.Grain Production details'!H74</f>
        <v>0</v>
      </c>
    </row>
    <row r="21" spans="1:8" x14ac:dyDescent="0.2">
      <c r="A21" s="93" t="str">
        <f>'10.Grain Production details'!A75</f>
        <v>Sunflower</v>
      </c>
      <c r="B21" s="93">
        <f>'10.Grain Production details'!B75</f>
        <v>0</v>
      </c>
      <c r="C21" s="93">
        <f>'10.Grain Production details'!C75</f>
        <v>0</v>
      </c>
      <c r="D21" s="93">
        <f>'10.Grain Production details'!D75</f>
        <v>0</v>
      </c>
      <c r="E21" s="93">
        <f>'10.Grain Production details'!E75</f>
        <v>0</v>
      </c>
      <c r="F21" s="93">
        <f>'10.Grain Production details'!F75</f>
        <v>0</v>
      </c>
      <c r="G21" s="93">
        <f>'10.Grain Production details'!G75</f>
        <v>0</v>
      </c>
      <c r="H21" s="93">
        <f>'10.Grain Production details'!H75</f>
        <v>0</v>
      </c>
    </row>
    <row r="22" spans="1:8" x14ac:dyDescent="0.2">
      <c r="A22" s="93" t="str">
        <f>'10.Grain Production details'!A76</f>
        <v>Wheat</v>
      </c>
      <c r="B22" s="93">
        <f>'10.Grain Production details'!B76</f>
        <v>0</v>
      </c>
      <c r="C22" s="93">
        <f>'10.Grain Production details'!C76</f>
        <v>0</v>
      </c>
      <c r="D22" s="93">
        <f>'10.Grain Production details'!D76</f>
        <v>0</v>
      </c>
      <c r="E22" s="93">
        <f>'10.Grain Production details'!E76</f>
        <v>0</v>
      </c>
      <c r="F22" s="93">
        <f>'10.Grain Production details'!F76</f>
        <v>0</v>
      </c>
      <c r="G22" s="93">
        <f>'10.Grain Production details'!G76</f>
        <v>0</v>
      </c>
      <c r="H22" s="93">
        <f>'10.Grain Production details'!H76</f>
        <v>0</v>
      </c>
    </row>
    <row r="23" spans="1:8" x14ac:dyDescent="0.2">
      <c r="A23" s="93" t="str">
        <f>'10.Grain Production details'!A77</f>
        <v>Bengal Gram/Channa</v>
      </c>
      <c r="B23" s="93">
        <f>'10.Grain Production details'!B77</f>
        <v>0</v>
      </c>
      <c r="C23" s="93">
        <f>'10.Grain Production details'!C77</f>
        <v>0</v>
      </c>
      <c r="D23" s="93">
        <f>'10.Grain Production details'!D77</f>
        <v>0</v>
      </c>
      <c r="E23" s="93">
        <f>'10.Grain Production details'!E77</f>
        <v>0</v>
      </c>
      <c r="F23" s="93">
        <f>'10.Grain Production details'!F77</f>
        <v>0</v>
      </c>
      <c r="G23" s="93">
        <f>'10.Grain Production details'!G77</f>
        <v>0</v>
      </c>
      <c r="H23" s="93">
        <f>'10.Grain Production details'!H77</f>
        <v>0</v>
      </c>
    </row>
    <row r="24" spans="1:8" x14ac:dyDescent="0.2">
      <c r="A24" s="93" t="str">
        <f>'10.Grain Production details'!A78</f>
        <v>Jawar</v>
      </c>
      <c r="B24" s="93">
        <f>'10.Grain Production details'!B78</f>
        <v>0</v>
      </c>
      <c r="C24" s="93">
        <f>'10.Grain Production details'!C78</f>
        <v>0</v>
      </c>
      <c r="D24" s="93">
        <f>'10.Grain Production details'!D78</f>
        <v>0</v>
      </c>
      <c r="E24" s="93">
        <f>'10.Grain Production details'!E78</f>
        <v>0</v>
      </c>
      <c r="F24" s="93">
        <f>'10.Grain Production details'!F78</f>
        <v>0</v>
      </c>
      <c r="G24" s="93">
        <f>'10.Grain Production details'!G78</f>
        <v>0</v>
      </c>
      <c r="H24" s="93">
        <f>'10.Grain Production details'!H78</f>
        <v>0</v>
      </c>
    </row>
    <row r="25" spans="1:8" x14ac:dyDescent="0.2">
      <c r="A25" s="93" t="str">
        <f>'10.Grain Production details'!A79</f>
        <v>Maize</v>
      </c>
      <c r="B25" s="93">
        <f>'10.Grain Production details'!B79</f>
        <v>0</v>
      </c>
      <c r="C25" s="93">
        <f>'10.Grain Production details'!C79</f>
        <v>0</v>
      </c>
      <c r="D25" s="93">
        <f>'10.Grain Production details'!D79</f>
        <v>0</v>
      </c>
      <c r="E25" s="93">
        <f>'10.Grain Production details'!E79</f>
        <v>0</v>
      </c>
      <c r="F25" s="93">
        <f>'10.Grain Production details'!F79</f>
        <v>0</v>
      </c>
      <c r="G25" s="93">
        <f>'10.Grain Production details'!G79</f>
        <v>0</v>
      </c>
      <c r="H25" s="93">
        <f>'10.Grain Production details'!H79</f>
        <v>0</v>
      </c>
    </row>
    <row r="26" spans="1:8" x14ac:dyDescent="0.2">
      <c r="A26" s="93" t="str">
        <f>'10.Grain Production details'!A80</f>
        <v>Safflower</v>
      </c>
      <c r="B26" s="93">
        <f>'10.Grain Production details'!B80</f>
        <v>0</v>
      </c>
      <c r="C26" s="93">
        <f>'10.Grain Production details'!C80</f>
        <v>0</v>
      </c>
      <c r="D26" s="93">
        <f>'10.Grain Production details'!D80</f>
        <v>0</v>
      </c>
      <c r="E26" s="93">
        <f>'10.Grain Production details'!E80</f>
        <v>0</v>
      </c>
      <c r="F26" s="93">
        <f>'10.Grain Production details'!F80</f>
        <v>0</v>
      </c>
      <c r="G26" s="93">
        <f>'10.Grain Production details'!G80</f>
        <v>0</v>
      </c>
      <c r="H26" s="93">
        <f>'10.Grain Production details'!H80</f>
        <v>0</v>
      </c>
    </row>
    <row r="27" spans="1:8" x14ac:dyDescent="0.2">
      <c r="A27" s="93">
        <f>'10.Grain Production details'!A81</f>
        <v>0</v>
      </c>
      <c r="B27" s="93">
        <f>'10.Grain Production details'!B81</f>
        <v>0</v>
      </c>
      <c r="C27" s="93">
        <f>'10.Grain Production details'!C81</f>
        <v>0</v>
      </c>
      <c r="D27" s="93">
        <f>'10.Grain Production details'!D81</f>
        <v>0</v>
      </c>
      <c r="E27" s="93">
        <f>'10.Grain Production details'!E81</f>
        <v>0</v>
      </c>
      <c r="F27" s="93">
        <f>'10.Grain Production details'!F81</f>
        <v>0</v>
      </c>
      <c r="G27" s="93">
        <f>'10.Grain Production details'!G81</f>
        <v>0</v>
      </c>
      <c r="H27" s="93">
        <f>'10.Grain Production details'!H81</f>
        <v>0</v>
      </c>
    </row>
    <row r="28" spans="1:8" x14ac:dyDescent="0.2">
      <c r="A28" s="93">
        <f>'10.Grain Production details'!A82</f>
        <v>0</v>
      </c>
      <c r="B28" s="93">
        <f>'10.Grain Production details'!B82</f>
        <v>0</v>
      </c>
      <c r="C28" s="93">
        <f>'10.Grain Production details'!C82</f>
        <v>0</v>
      </c>
      <c r="D28" s="93">
        <f>'10.Grain Production details'!D82</f>
        <v>0</v>
      </c>
      <c r="E28" s="93">
        <f>'10.Grain Production details'!E82</f>
        <v>0</v>
      </c>
      <c r="F28" s="93">
        <f>'10.Grain Production details'!F82</f>
        <v>0</v>
      </c>
      <c r="G28" s="93">
        <f>'10.Grain Production details'!G82</f>
        <v>0</v>
      </c>
      <c r="H28" s="93">
        <f>'10.Grain Production details'!H82</f>
        <v>0</v>
      </c>
    </row>
    <row r="29" spans="1:8" x14ac:dyDescent="0.2">
      <c r="A29" s="93">
        <f>'10.Grain Production details'!A83</f>
        <v>0</v>
      </c>
      <c r="B29" s="93">
        <f>'10.Grain Production details'!B83</f>
        <v>0</v>
      </c>
      <c r="C29" s="93">
        <f>'10.Grain Production details'!C83</f>
        <v>0</v>
      </c>
      <c r="D29" s="93">
        <f>'10.Grain Production details'!D83</f>
        <v>0</v>
      </c>
      <c r="E29" s="93">
        <f>'10.Grain Production details'!E83</f>
        <v>0</v>
      </c>
      <c r="F29" s="93">
        <f>'10.Grain Production details'!F83</f>
        <v>0</v>
      </c>
      <c r="G29" s="93">
        <f>'10.Grain Production details'!G83</f>
        <v>0</v>
      </c>
      <c r="H29" s="93">
        <f>'10.Grain Production details'!H83</f>
        <v>0</v>
      </c>
    </row>
    <row r="30" spans="1:8" x14ac:dyDescent="0.2">
      <c r="A30" s="93" t="str">
        <f>'10.Grain Production details'!A84</f>
        <v>Groundnut</v>
      </c>
      <c r="B30" s="93">
        <f>'10.Grain Production details'!B84</f>
        <v>0</v>
      </c>
      <c r="C30" s="93">
        <f>'10.Grain Production details'!C84</f>
        <v>0</v>
      </c>
      <c r="D30" s="93">
        <f>'10.Grain Production details'!D84</f>
        <v>0</v>
      </c>
      <c r="E30" s="93">
        <f>'10.Grain Production details'!E84</f>
        <v>0</v>
      </c>
      <c r="F30" s="93">
        <f>'10.Grain Production details'!F84</f>
        <v>0</v>
      </c>
      <c r="G30" s="93">
        <f>'10.Grain Production details'!G84</f>
        <v>0</v>
      </c>
      <c r="H30" s="93">
        <f>'10.Grain Production details'!H84</f>
        <v>0</v>
      </c>
    </row>
    <row r="31" spans="1:8" x14ac:dyDescent="0.2">
      <c r="A31" s="93">
        <f>'10.Grain Production details'!A85</f>
        <v>0</v>
      </c>
      <c r="B31" s="93">
        <f>'10.Grain Production details'!B85</f>
        <v>0</v>
      </c>
      <c r="C31" s="93">
        <f>'10.Grain Production details'!C85</f>
        <v>0</v>
      </c>
      <c r="D31" s="93">
        <f>'10.Grain Production details'!D85</f>
        <v>0</v>
      </c>
      <c r="E31" s="93">
        <f>'10.Grain Production details'!E85</f>
        <v>0</v>
      </c>
      <c r="F31" s="93">
        <f>'10.Grain Production details'!F85</f>
        <v>0</v>
      </c>
      <c r="G31" s="93">
        <f>'10.Grain Production details'!G85</f>
        <v>0</v>
      </c>
      <c r="H31" s="93">
        <f>'10.Grain Production details'!H85</f>
        <v>0</v>
      </c>
    </row>
    <row r="32" spans="1:8" x14ac:dyDescent="0.2">
      <c r="A32" s="93" t="s">
        <v>448</v>
      </c>
      <c r="B32" s="93">
        <f>SUM(B13:B31)</f>
        <v>0</v>
      </c>
      <c r="C32" s="93">
        <f t="shared" ref="C32:H32" si="1">SUM(C13:C31)</f>
        <v>0</v>
      </c>
      <c r="D32" s="93">
        <f t="shared" si="1"/>
        <v>0</v>
      </c>
      <c r="E32" s="93">
        <f t="shared" si="1"/>
        <v>0</v>
      </c>
      <c r="F32" s="93">
        <f t="shared" si="1"/>
        <v>0</v>
      </c>
      <c r="G32" s="93">
        <f t="shared" si="1"/>
        <v>0</v>
      </c>
      <c r="H32" s="93">
        <f t="shared" si="1"/>
        <v>0</v>
      </c>
    </row>
    <row r="33" spans="1:8" x14ac:dyDescent="0.2">
      <c r="A33" s="371" t="s">
        <v>164</v>
      </c>
      <c r="B33" s="260">
        <v>0.5</v>
      </c>
      <c r="C33" s="260">
        <f>B33</f>
        <v>0.5</v>
      </c>
      <c r="D33" s="260">
        <f t="shared" ref="D33:H33" si="2">C33</f>
        <v>0.5</v>
      </c>
      <c r="E33" s="260">
        <f t="shared" si="2"/>
        <v>0.5</v>
      </c>
      <c r="F33" s="260">
        <f t="shared" si="2"/>
        <v>0.5</v>
      </c>
      <c r="G33" s="260">
        <f t="shared" si="2"/>
        <v>0.5</v>
      </c>
      <c r="H33" s="260">
        <f t="shared" si="2"/>
        <v>0.5</v>
      </c>
    </row>
    <row r="34" spans="1:8" x14ac:dyDescent="0.2">
      <c r="A34" s="93" t="s">
        <v>458</v>
      </c>
      <c r="B34" s="125">
        <f>1-B33</f>
        <v>0.5</v>
      </c>
      <c r="C34" s="125">
        <f t="shared" ref="C34:H34" si="3">1-C33</f>
        <v>0.5</v>
      </c>
      <c r="D34" s="125">
        <f t="shared" si="3"/>
        <v>0.5</v>
      </c>
      <c r="E34" s="125">
        <f t="shared" si="3"/>
        <v>0.5</v>
      </c>
      <c r="F34" s="125">
        <f t="shared" si="3"/>
        <v>0.5</v>
      </c>
      <c r="G34" s="125">
        <f t="shared" si="3"/>
        <v>0.5</v>
      </c>
      <c r="H34" s="125">
        <f t="shared" si="3"/>
        <v>0.5</v>
      </c>
    </row>
    <row r="35" spans="1:8" x14ac:dyDescent="0.2">
      <c r="A35" s="98" t="s">
        <v>164</v>
      </c>
      <c r="B35" s="385">
        <f>B32*B33</f>
        <v>0</v>
      </c>
      <c r="C35" s="385">
        <f t="shared" ref="C35:H35" si="4">C32*C33</f>
        <v>0</v>
      </c>
      <c r="D35" s="385">
        <f t="shared" si="4"/>
        <v>0</v>
      </c>
      <c r="E35" s="385">
        <f t="shared" si="4"/>
        <v>0</v>
      </c>
      <c r="F35" s="385">
        <f t="shared" si="4"/>
        <v>0</v>
      </c>
      <c r="G35" s="385">
        <f t="shared" si="4"/>
        <v>0</v>
      </c>
      <c r="H35" s="385">
        <f t="shared" si="4"/>
        <v>0</v>
      </c>
    </row>
    <row r="36" spans="1:8" x14ac:dyDescent="0.2">
      <c r="A36" s="98" t="s">
        <v>165</v>
      </c>
      <c r="B36" s="104"/>
      <c r="C36" s="104"/>
      <c r="D36" s="104"/>
      <c r="E36" s="104"/>
      <c r="F36" s="104"/>
      <c r="G36" s="104"/>
      <c r="H36" s="104"/>
    </row>
    <row r="37" spans="1:8" x14ac:dyDescent="0.2">
      <c r="A37" s="93" t="str">
        <f t="shared" ref="A37:A55" si="5">A13</f>
        <v>Soybean</v>
      </c>
      <c r="B37" s="95">
        <f t="shared" ref="B37:B55" si="6">B13*$B$34</f>
        <v>0</v>
      </c>
      <c r="C37" s="95">
        <f t="shared" ref="C37:H37" si="7">C13*$B$34</f>
        <v>0</v>
      </c>
      <c r="D37" s="95">
        <f t="shared" si="7"/>
        <v>0</v>
      </c>
      <c r="E37" s="95">
        <f t="shared" si="7"/>
        <v>0</v>
      </c>
      <c r="F37" s="95">
        <f t="shared" si="7"/>
        <v>0</v>
      </c>
      <c r="G37" s="95">
        <f t="shared" si="7"/>
        <v>0</v>
      </c>
      <c r="H37" s="95">
        <f t="shared" si="7"/>
        <v>0</v>
      </c>
    </row>
    <row r="38" spans="1:8" x14ac:dyDescent="0.2">
      <c r="A38" s="93" t="str">
        <f t="shared" si="5"/>
        <v>Red Gram/Tur</v>
      </c>
      <c r="B38" s="95">
        <f t="shared" si="6"/>
        <v>0</v>
      </c>
      <c r="C38" s="95">
        <f t="shared" ref="C38:C55" si="8">C14*$C$34</f>
        <v>0</v>
      </c>
      <c r="D38" s="95">
        <f t="shared" ref="D38:D55" si="9">D14*$D$34</f>
        <v>0</v>
      </c>
      <c r="E38" s="95">
        <f t="shared" ref="E38:E55" si="10">E14*$E$34</f>
        <v>0</v>
      </c>
      <c r="F38" s="95">
        <f t="shared" ref="F38:F55" si="11">F14*$F$34</f>
        <v>0</v>
      </c>
      <c r="G38" s="95">
        <f t="shared" ref="G38:G55" si="12">G14*$G$34</f>
        <v>0</v>
      </c>
      <c r="H38" s="95">
        <f t="shared" ref="H38:H55" si="13">H14*$H$34</f>
        <v>0</v>
      </c>
    </row>
    <row r="39" spans="1:8" x14ac:dyDescent="0.2">
      <c r="A39" s="93" t="str">
        <f t="shared" si="5"/>
        <v>Paddy/Rice</v>
      </c>
      <c r="B39" s="95">
        <f t="shared" si="6"/>
        <v>0</v>
      </c>
      <c r="C39" s="95">
        <f t="shared" si="8"/>
        <v>0</v>
      </c>
      <c r="D39" s="95">
        <f t="shared" si="9"/>
        <v>0</v>
      </c>
      <c r="E39" s="95">
        <f t="shared" si="10"/>
        <v>0</v>
      </c>
      <c r="F39" s="95">
        <f t="shared" si="11"/>
        <v>0</v>
      </c>
      <c r="G39" s="95">
        <f t="shared" si="12"/>
        <v>0</v>
      </c>
      <c r="H39" s="95">
        <f t="shared" si="13"/>
        <v>0</v>
      </c>
    </row>
    <row r="40" spans="1:8" x14ac:dyDescent="0.2">
      <c r="A40" s="93" t="str">
        <f t="shared" si="5"/>
        <v>Green Gram/ Moong</v>
      </c>
      <c r="B40" s="95">
        <f t="shared" si="6"/>
        <v>0</v>
      </c>
      <c r="C40" s="95">
        <f t="shared" si="8"/>
        <v>0</v>
      </c>
      <c r="D40" s="95">
        <f t="shared" si="9"/>
        <v>0</v>
      </c>
      <c r="E40" s="95">
        <f t="shared" si="10"/>
        <v>0</v>
      </c>
      <c r="F40" s="95">
        <f t="shared" si="11"/>
        <v>0</v>
      </c>
      <c r="G40" s="95">
        <f t="shared" si="12"/>
        <v>0</v>
      </c>
      <c r="H40" s="95">
        <f t="shared" si="13"/>
        <v>0</v>
      </c>
    </row>
    <row r="41" spans="1:8" x14ac:dyDescent="0.2">
      <c r="A41" s="93" t="str">
        <f t="shared" si="5"/>
        <v>Maize</v>
      </c>
      <c r="B41" s="95">
        <f t="shared" si="6"/>
        <v>0</v>
      </c>
      <c r="C41" s="95">
        <f t="shared" si="8"/>
        <v>0</v>
      </c>
      <c r="D41" s="95">
        <f t="shared" si="9"/>
        <v>0</v>
      </c>
      <c r="E41" s="95">
        <f t="shared" si="10"/>
        <v>0</v>
      </c>
      <c r="F41" s="95">
        <f t="shared" si="11"/>
        <v>0</v>
      </c>
      <c r="G41" s="95">
        <f t="shared" si="12"/>
        <v>0</v>
      </c>
      <c r="H41" s="95">
        <f t="shared" si="13"/>
        <v>0</v>
      </c>
    </row>
    <row r="42" spans="1:8" x14ac:dyDescent="0.2">
      <c r="A42" s="93" t="str">
        <f t="shared" si="5"/>
        <v>Black Gram/Udid</v>
      </c>
      <c r="B42" s="95">
        <f t="shared" si="6"/>
        <v>0</v>
      </c>
      <c r="C42" s="95">
        <f t="shared" si="8"/>
        <v>0</v>
      </c>
      <c r="D42" s="95">
        <f t="shared" si="9"/>
        <v>0</v>
      </c>
      <c r="E42" s="95">
        <f t="shared" si="10"/>
        <v>0</v>
      </c>
      <c r="F42" s="95">
        <f t="shared" si="11"/>
        <v>0</v>
      </c>
      <c r="G42" s="95">
        <f t="shared" si="12"/>
        <v>0</v>
      </c>
      <c r="H42" s="95">
        <f t="shared" si="13"/>
        <v>0</v>
      </c>
    </row>
    <row r="43" spans="1:8" x14ac:dyDescent="0.2">
      <c r="A43" s="93" t="str">
        <f t="shared" si="5"/>
        <v>Bajra</v>
      </c>
      <c r="B43" s="95">
        <f t="shared" si="6"/>
        <v>0</v>
      </c>
      <c r="C43" s="95">
        <f t="shared" si="8"/>
        <v>0</v>
      </c>
      <c r="D43" s="95">
        <f t="shared" si="9"/>
        <v>0</v>
      </c>
      <c r="E43" s="95">
        <f t="shared" si="10"/>
        <v>0</v>
      </c>
      <c r="F43" s="95">
        <f t="shared" si="11"/>
        <v>0</v>
      </c>
      <c r="G43" s="95">
        <f t="shared" si="12"/>
        <v>0</v>
      </c>
      <c r="H43" s="95">
        <f t="shared" si="13"/>
        <v>0</v>
      </c>
    </row>
    <row r="44" spans="1:8" x14ac:dyDescent="0.2">
      <c r="A44" s="93" t="str">
        <f t="shared" si="5"/>
        <v>Jawar</v>
      </c>
      <c r="B44" s="95">
        <f t="shared" si="6"/>
        <v>0</v>
      </c>
      <c r="C44" s="95">
        <f t="shared" si="8"/>
        <v>0</v>
      </c>
      <c r="D44" s="95">
        <f t="shared" si="9"/>
        <v>0</v>
      </c>
      <c r="E44" s="95">
        <f t="shared" si="10"/>
        <v>0</v>
      </c>
      <c r="F44" s="95">
        <f t="shared" si="11"/>
        <v>0</v>
      </c>
      <c r="G44" s="95">
        <f t="shared" si="12"/>
        <v>0</v>
      </c>
      <c r="H44" s="95">
        <f t="shared" si="13"/>
        <v>0</v>
      </c>
    </row>
    <row r="45" spans="1:8" x14ac:dyDescent="0.2">
      <c r="A45" s="93" t="str">
        <f t="shared" si="5"/>
        <v>Sunflower</v>
      </c>
      <c r="B45" s="95">
        <f t="shared" si="6"/>
        <v>0</v>
      </c>
      <c r="C45" s="95">
        <f t="shared" si="8"/>
        <v>0</v>
      </c>
      <c r="D45" s="95">
        <f t="shared" si="9"/>
        <v>0</v>
      </c>
      <c r="E45" s="95">
        <f t="shared" si="10"/>
        <v>0</v>
      </c>
      <c r="F45" s="95">
        <f t="shared" si="11"/>
        <v>0</v>
      </c>
      <c r="G45" s="95">
        <f t="shared" si="12"/>
        <v>0</v>
      </c>
      <c r="H45" s="95">
        <f t="shared" si="13"/>
        <v>0</v>
      </c>
    </row>
    <row r="46" spans="1:8" x14ac:dyDescent="0.2">
      <c r="A46" s="93" t="str">
        <f t="shared" si="5"/>
        <v>Wheat</v>
      </c>
      <c r="B46" s="95">
        <f t="shared" si="6"/>
        <v>0</v>
      </c>
      <c r="C46" s="95">
        <f t="shared" si="8"/>
        <v>0</v>
      </c>
      <c r="D46" s="95">
        <f t="shared" si="9"/>
        <v>0</v>
      </c>
      <c r="E46" s="95">
        <f t="shared" si="10"/>
        <v>0</v>
      </c>
      <c r="F46" s="95">
        <f t="shared" si="11"/>
        <v>0</v>
      </c>
      <c r="G46" s="95">
        <f t="shared" si="12"/>
        <v>0</v>
      </c>
      <c r="H46" s="95">
        <f t="shared" si="13"/>
        <v>0</v>
      </c>
    </row>
    <row r="47" spans="1:8" x14ac:dyDescent="0.2">
      <c r="A47" s="93" t="str">
        <f t="shared" si="5"/>
        <v>Bengal Gram/Channa</v>
      </c>
      <c r="B47" s="95">
        <f t="shared" si="6"/>
        <v>0</v>
      </c>
      <c r="C47" s="95">
        <f t="shared" si="8"/>
        <v>0</v>
      </c>
      <c r="D47" s="95">
        <f t="shared" si="9"/>
        <v>0</v>
      </c>
      <c r="E47" s="95">
        <f t="shared" si="10"/>
        <v>0</v>
      </c>
      <c r="F47" s="95">
        <f t="shared" si="11"/>
        <v>0</v>
      </c>
      <c r="G47" s="95">
        <f t="shared" si="12"/>
        <v>0</v>
      </c>
      <c r="H47" s="95">
        <f t="shared" si="13"/>
        <v>0</v>
      </c>
    </row>
    <row r="48" spans="1:8" x14ac:dyDescent="0.2">
      <c r="A48" s="93" t="str">
        <f t="shared" si="5"/>
        <v>Jawar</v>
      </c>
      <c r="B48" s="95">
        <f t="shared" si="6"/>
        <v>0</v>
      </c>
      <c r="C48" s="95">
        <f t="shared" si="8"/>
        <v>0</v>
      </c>
      <c r="D48" s="95">
        <f t="shared" si="9"/>
        <v>0</v>
      </c>
      <c r="E48" s="95">
        <f t="shared" si="10"/>
        <v>0</v>
      </c>
      <c r="F48" s="95">
        <f t="shared" si="11"/>
        <v>0</v>
      </c>
      <c r="G48" s="95">
        <f t="shared" si="12"/>
        <v>0</v>
      </c>
      <c r="H48" s="95">
        <f t="shared" si="13"/>
        <v>0</v>
      </c>
    </row>
    <row r="49" spans="1:8" x14ac:dyDescent="0.2">
      <c r="A49" s="93" t="str">
        <f t="shared" si="5"/>
        <v>Maize</v>
      </c>
      <c r="B49" s="95">
        <f t="shared" si="6"/>
        <v>0</v>
      </c>
      <c r="C49" s="95">
        <f t="shared" si="8"/>
        <v>0</v>
      </c>
      <c r="D49" s="95">
        <f t="shared" si="9"/>
        <v>0</v>
      </c>
      <c r="E49" s="95">
        <f t="shared" si="10"/>
        <v>0</v>
      </c>
      <c r="F49" s="95">
        <f t="shared" si="11"/>
        <v>0</v>
      </c>
      <c r="G49" s="95">
        <f t="shared" si="12"/>
        <v>0</v>
      </c>
      <c r="H49" s="95">
        <f t="shared" si="13"/>
        <v>0</v>
      </c>
    </row>
    <row r="50" spans="1:8" x14ac:dyDescent="0.2">
      <c r="A50" s="93" t="str">
        <f t="shared" si="5"/>
        <v>Safflower</v>
      </c>
      <c r="B50" s="95">
        <f t="shared" si="6"/>
        <v>0</v>
      </c>
      <c r="C50" s="95">
        <f t="shared" si="8"/>
        <v>0</v>
      </c>
      <c r="D50" s="95">
        <f t="shared" si="9"/>
        <v>0</v>
      </c>
      <c r="E50" s="95">
        <f t="shared" si="10"/>
        <v>0</v>
      </c>
      <c r="F50" s="95">
        <f t="shared" si="11"/>
        <v>0</v>
      </c>
      <c r="G50" s="95">
        <f t="shared" si="12"/>
        <v>0</v>
      </c>
      <c r="H50" s="95">
        <f t="shared" si="13"/>
        <v>0</v>
      </c>
    </row>
    <row r="51" spans="1:8" x14ac:dyDescent="0.2">
      <c r="A51" s="93">
        <f t="shared" si="5"/>
        <v>0</v>
      </c>
      <c r="B51" s="95">
        <f t="shared" si="6"/>
        <v>0</v>
      </c>
      <c r="C51" s="95">
        <f t="shared" si="8"/>
        <v>0</v>
      </c>
      <c r="D51" s="95">
        <f t="shared" si="9"/>
        <v>0</v>
      </c>
      <c r="E51" s="95">
        <f t="shared" si="10"/>
        <v>0</v>
      </c>
      <c r="F51" s="95">
        <f t="shared" si="11"/>
        <v>0</v>
      </c>
      <c r="G51" s="95">
        <f t="shared" si="12"/>
        <v>0</v>
      </c>
      <c r="H51" s="95">
        <f t="shared" si="13"/>
        <v>0</v>
      </c>
    </row>
    <row r="52" spans="1:8" x14ac:dyDescent="0.2">
      <c r="A52" s="93">
        <f t="shared" si="5"/>
        <v>0</v>
      </c>
      <c r="B52" s="95">
        <f t="shared" si="6"/>
        <v>0</v>
      </c>
      <c r="C52" s="95">
        <f t="shared" si="8"/>
        <v>0</v>
      </c>
      <c r="D52" s="95">
        <f t="shared" si="9"/>
        <v>0</v>
      </c>
      <c r="E52" s="95">
        <f t="shared" si="10"/>
        <v>0</v>
      </c>
      <c r="F52" s="95">
        <f t="shared" si="11"/>
        <v>0</v>
      </c>
      <c r="G52" s="95">
        <f t="shared" si="12"/>
        <v>0</v>
      </c>
      <c r="H52" s="95">
        <f t="shared" si="13"/>
        <v>0</v>
      </c>
    </row>
    <row r="53" spans="1:8" x14ac:dyDescent="0.2">
      <c r="A53" s="93">
        <f t="shared" si="5"/>
        <v>0</v>
      </c>
      <c r="B53" s="95">
        <f t="shared" si="6"/>
        <v>0</v>
      </c>
      <c r="C53" s="95">
        <f t="shared" si="8"/>
        <v>0</v>
      </c>
      <c r="D53" s="95">
        <f t="shared" si="9"/>
        <v>0</v>
      </c>
      <c r="E53" s="95">
        <f t="shared" si="10"/>
        <v>0</v>
      </c>
      <c r="F53" s="95">
        <f t="shared" si="11"/>
        <v>0</v>
      </c>
      <c r="G53" s="95">
        <f t="shared" si="12"/>
        <v>0</v>
      </c>
      <c r="H53" s="95">
        <f t="shared" si="13"/>
        <v>0</v>
      </c>
    </row>
    <row r="54" spans="1:8" x14ac:dyDescent="0.2">
      <c r="A54" s="93" t="str">
        <f t="shared" si="5"/>
        <v>Groundnut</v>
      </c>
      <c r="B54" s="95">
        <f t="shared" si="6"/>
        <v>0</v>
      </c>
      <c r="C54" s="95">
        <f t="shared" si="8"/>
        <v>0</v>
      </c>
      <c r="D54" s="95">
        <f t="shared" si="9"/>
        <v>0</v>
      </c>
      <c r="E54" s="95">
        <f t="shared" si="10"/>
        <v>0</v>
      </c>
      <c r="F54" s="95">
        <f t="shared" si="11"/>
        <v>0</v>
      </c>
      <c r="G54" s="95">
        <f t="shared" si="12"/>
        <v>0</v>
      </c>
      <c r="H54" s="95">
        <f t="shared" si="13"/>
        <v>0</v>
      </c>
    </row>
    <row r="55" spans="1:8" x14ac:dyDescent="0.2">
      <c r="A55" s="93">
        <f t="shared" si="5"/>
        <v>0</v>
      </c>
      <c r="B55" s="95">
        <f t="shared" si="6"/>
        <v>0</v>
      </c>
      <c r="C55" s="95">
        <f t="shared" si="8"/>
        <v>0</v>
      </c>
      <c r="D55" s="95">
        <f t="shared" si="9"/>
        <v>0</v>
      </c>
      <c r="E55" s="95">
        <f t="shared" si="10"/>
        <v>0</v>
      </c>
      <c r="F55" s="95">
        <f t="shared" si="11"/>
        <v>0</v>
      </c>
      <c r="G55" s="95">
        <f t="shared" si="12"/>
        <v>0</v>
      </c>
      <c r="H55" s="95">
        <f t="shared" si="13"/>
        <v>0</v>
      </c>
    </row>
    <row r="56" spans="1:8" x14ac:dyDescent="0.2">
      <c r="A56" s="93"/>
      <c r="B56" s="93"/>
      <c r="C56" s="93"/>
      <c r="D56" s="93"/>
      <c r="E56" s="93"/>
      <c r="F56" s="93"/>
      <c r="G56" s="93"/>
      <c r="H56" s="93"/>
    </row>
    <row r="57" spans="1:8" x14ac:dyDescent="0.2">
      <c r="A57" s="98" t="s">
        <v>282</v>
      </c>
      <c r="B57" s="93"/>
      <c r="C57" s="93"/>
      <c r="D57" s="93"/>
      <c r="E57" s="93"/>
      <c r="F57" s="93"/>
      <c r="G57" s="93"/>
      <c r="H57" s="93"/>
    </row>
    <row r="58" spans="1:8" x14ac:dyDescent="0.2">
      <c r="A58" s="93" t="str">
        <f>A37</f>
        <v>Soybean</v>
      </c>
      <c r="B58" s="93"/>
      <c r="C58" s="93"/>
      <c r="D58" s="93"/>
      <c r="E58" s="93"/>
      <c r="F58" s="93"/>
      <c r="G58" s="93"/>
      <c r="H58" s="93"/>
    </row>
    <row r="59" spans="1:8" x14ac:dyDescent="0.2">
      <c r="A59" s="93"/>
      <c r="B59" s="93"/>
      <c r="C59" s="93"/>
      <c r="D59" s="93"/>
      <c r="E59" s="93"/>
      <c r="F59" s="93"/>
      <c r="G59" s="93"/>
      <c r="H59" s="93"/>
    </row>
    <row r="60" spans="1:8" x14ac:dyDescent="0.2">
      <c r="A60" s="93"/>
      <c r="B60" s="93"/>
      <c r="C60" s="93"/>
      <c r="D60" s="93"/>
      <c r="E60" s="93"/>
      <c r="F60" s="93"/>
      <c r="G60" s="93"/>
      <c r="H60" s="93"/>
    </row>
    <row r="61" spans="1:8" x14ac:dyDescent="0.2">
      <c r="A61" s="93"/>
      <c r="B61" s="93"/>
      <c r="C61" s="93"/>
      <c r="D61" s="93"/>
      <c r="E61" s="93"/>
      <c r="F61" s="93"/>
      <c r="G61" s="93"/>
      <c r="H61" s="93"/>
    </row>
    <row r="62" spans="1:8" x14ac:dyDescent="0.2">
      <c r="A62" s="93" t="str">
        <f>A38</f>
        <v>Red Gram/Tur</v>
      </c>
      <c r="B62" s="128"/>
      <c r="C62" s="128"/>
      <c r="D62" s="128"/>
      <c r="E62" s="128"/>
      <c r="F62" s="128"/>
      <c r="G62" s="128"/>
      <c r="H62" s="128"/>
    </row>
    <row r="63" spans="1:8" x14ac:dyDescent="0.2">
      <c r="A63" s="93" t="s">
        <v>449</v>
      </c>
      <c r="B63" s="128">
        <f>B38*80%</f>
        <v>0</v>
      </c>
      <c r="C63" s="128">
        <f t="shared" ref="C63:H63" si="14">C38*80%</f>
        <v>0</v>
      </c>
      <c r="D63" s="128">
        <f t="shared" si="14"/>
        <v>0</v>
      </c>
      <c r="E63" s="128">
        <f t="shared" si="14"/>
        <v>0</v>
      </c>
      <c r="F63" s="128">
        <f t="shared" si="14"/>
        <v>0</v>
      </c>
      <c r="G63" s="128">
        <f t="shared" si="14"/>
        <v>0</v>
      </c>
      <c r="H63" s="128">
        <f t="shared" si="14"/>
        <v>0</v>
      </c>
    </row>
    <row r="64" spans="1:8" x14ac:dyDescent="0.2">
      <c r="A64" s="93" t="s">
        <v>141</v>
      </c>
      <c r="B64" s="128">
        <f>B38*20%</f>
        <v>0</v>
      </c>
      <c r="C64" s="128">
        <f t="shared" ref="C64:H64" si="15">C38*20%</f>
        <v>0</v>
      </c>
      <c r="D64" s="128">
        <f t="shared" si="15"/>
        <v>0</v>
      </c>
      <c r="E64" s="128">
        <f t="shared" si="15"/>
        <v>0</v>
      </c>
      <c r="F64" s="128">
        <f t="shared" si="15"/>
        <v>0</v>
      </c>
      <c r="G64" s="128">
        <f t="shared" si="15"/>
        <v>0</v>
      </c>
      <c r="H64" s="128">
        <f t="shared" si="15"/>
        <v>0</v>
      </c>
    </row>
    <row r="65" spans="1:8" x14ac:dyDescent="0.2">
      <c r="A65" s="93" t="str">
        <f>A39</f>
        <v>Paddy/Rice</v>
      </c>
      <c r="B65" s="95"/>
      <c r="C65" s="95"/>
      <c r="D65" s="95"/>
      <c r="E65" s="95"/>
      <c r="F65" s="95"/>
      <c r="G65" s="95"/>
      <c r="H65" s="95"/>
    </row>
    <row r="66" spans="1:8" x14ac:dyDescent="0.2">
      <c r="A66" s="93"/>
      <c r="B66" s="95"/>
      <c r="C66" s="95"/>
      <c r="D66" s="95"/>
      <c r="E66" s="95"/>
      <c r="F66" s="95"/>
      <c r="G66" s="95"/>
      <c r="H66" s="95"/>
    </row>
    <row r="67" spans="1:8" x14ac:dyDescent="0.2">
      <c r="A67" s="93"/>
      <c r="B67" s="95"/>
      <c r="C67" s="95"/>
      <c r="D67" s="95"/>
      <c r="E67" s="95"/>
      <c r="F67" s="95"/>
      <c r="G67" s="95"/>
      <c r="H67" s="95"/>
    </row>
    <row r="68" spans="1:8" x14ac:dyDescent="0.2">
      <c r="A68" s="93"/>
      <c r="B68" s="95"/>
      <c r="C68" s="95"/>
      <c r="D68" s="95"/>
      <c r="E68" s="95"/>
      <c r="F68" s="95"/>
      <c r="G68" s="95"/>
      <c r="H68" s="95"/>
    </row>
    <row r="69" spans="1:8" x14ac:dyDescent="0.2">
      <c r="A69" s="93" t="str">
        <f>A40</f>
        <v>Green Gram/ Moong</v>
      </c>
      <c r="B69" s="95"/>
      <c r="C69" s="95"/>
      <c r="D69" s="95"/>
      <c r="E69" s="95"/>
      <c r="F69" s="95"/>
      <c r="G69" s="95"/>
      <c r="H69" s="95"/>
    </row>
    <row r="70" spans="1:8" x14ac:dyDescent="0.2">
      <c r="A70" s="93" t="s">
        <v>449</v>
      </c>
      <c r="B70" s="95">
        <f>B40*80%</f>
        <v>0</v>
      </c>
      <c r="C70" s="95">
        <f t="shared" ref="C70:H70" si="16">C40*80%</f>
        <v>0</v>
      </c>
      <c r="D70" s="95">
        <f t="shared" si="16"/>
        <v>0</v>
      </c>
      <c r="E70" s="95">
        <f t="shared" si="16"/>
        <v>0</v>
      </c>
      <c r="F70" s="95">
        <f t="shared" si="16"/>
        <v>0</v>
      </c>
      <c r="G70" s="95">
        <f t="shared" si="16"/>
        <v>0</v>
      </c>
      <c r="H70" s="95">
        <f t="shared" si="16"/>
        <v>0</v>
      </c>
    </row>
    <row r="71" spans="1:8" x14ac:dyDescent="0.2">
      <c r="A71" s="93" t="s">
        <v>141</v>
      </c>
      <c r="B71" s="95">
        <f>B40*20%</f>
        <v>0</v>
      </c>
      <c r="C71" s="95">
        <f t="shared" ref="C71:H71" si="17">C40*20%</f>
        <v>0</v>
      </c>
      <c r="D71" s="95">
        <f t="shared" si="17"/>
        <v>0</v>
      </c>
      <c r="E71" s="95">
        <f t="shared" si="17"/>
        <v>0</v>
      </c>
      <c r="F71" s="95">
        <f t="shared" si="17"/>
        <v>0</v>
      </c>
      <c r="G71" s="95">
        <f t="shared" si="17"/>
        <v>0</v>
      </c>
      <c r="H71" s="95">
        <f t="shared" si="17"/>
        <v>0</v>
      </c>
    </row>
    <row r="72" spans="1:8" x14ac:dyDescent="0.2">
      <c r="A72" s="93" t="str">
        <f>A41</f>
        <v>Maize</v>
      </c>
      <c r="B72" s="95"/>
      <c r="C72" s="95"/>
      <c r="D72" s="95"/>
      <c r="E72" s="95"/>
      <c r="F72" s="95"/>
      <c r="G72" s="95"/>
      <c r="H72" s="95"/>
    </row>
    <row r="73" spans="1:8" x14ac:dyDescent="0.2">
      <c r="A73" s="93"/>
      <c r="B73" s="95"/>
      <c r="C73" s="95"/>
      <c r="D73" s="95"/>
      <c r="E73" s="95"/>
      <c r="F73" s="95"/>
      <c r="G73" s="95"/>
      <c r="H73" s="95"/>
    </row>
    <row r="74" spans="1:8" x14ac:dyDescent="0.2">
      <c r="A74" s="93"/>
      <c r="B74" s="95"/>
      <c r="C74" s="95"/>
      <c r="D74" s="95"/>
      <c r="E74" s="95"/>
      <c r="F74" s="95"/>
      <c r="G74" s="95"/>
      <c r="H74" s="95"/>
    </row>
    <row r="75" spans="1:8" x14ac:dyDescent="0.2">
      <c r="A75" s="93"/>
      <c r="B75" s="95"/>
      <c r="C75" s="95"/>
      <c r="D75" s="95"/>
      <c r="E75" s="95"/>
      <c r="F75" s="95"/>
      <c r="G75" s="95"/>
      <c r="H75" s="95"/>
    </row>
    <row r="76" spans="1:8" x14ac:dyDescent="0.2">
      <c r="A76" s="93"/>
      <c r="B76" s="95"/>
      <c r="C76" s="95"/>
      <c r="D76" s="95"/>
      <c r="E76" s="95"/>
      <c r="F76" s="95"/>
      <c r="G76" s="95"/>
      <c r="H76" s="95"/>
    </row>
    <row r="77" spans="1:8" x14ac:dyDescent="0.2">
      <c r="A77" s="93" t="str">
        <f>A42</f>
        <v>Black Gram/Udid</v>
      </c>
      <c r="B77" s="95"/>
      <c r="C77" s="95"/>
      <c r="D77" s="95"/>
      <c r="E77" s="95"/>
      <c r="F77" s="95"/>
      <c r="G77" s="95"/>
      <c r="H77" s="95"/>
    </row>
    <row r="78" spans="1:8" x14ac:dyDescent="0.2">
      <c r="A78" s="93" t="s">
        <v>449</v>
      </c>
      <c r="B78" s="95">
        <f t="shared" ref="B78:H78" si="18">B42*80%</f>
        <v>0</v>
      </c>
      <c r="C78" s="95">
        <f t="shared" si="18"/>
        <v>0</v>
      </c>
      <c r="D78" s="95">
        <f t="shared" si="18"/>
        <v>0</v>
      </c>
      <c r="E78" s="95">
        <f t="shared" si="18"/>
        <v>0</v>
      </c>
      <c r="F78" s="95">
        <f t="shared" si="18"/>
        <v>0</v>
      </c>
      <c r="G78" s="95">
        <f t="shared" si="18"/>
        <v>0</v>
      </c>
      <c r="H78" s="95">
        <f t="shared" si="18"/>
        <v>0</v>
      </c>
    </row>
    <row r="79" spans="1:8" x14ac:dyDescent="0.2">
      <c r="A79" s="93" t="s">
        <v>141</v>
      </c>
      <c r="B79" s="95">
        <f t="shared" ref="B79:H79" si="19">B42*20%</f>
        <v>0</v>
      </c>
      <c r="C79" s="95">
        <f t="shared" si="19"/>
        <v>0</v>
      </c>
      <c r="D79" s="95">
        <f t="shared" si="19"/>
        <v>0</v>
      </c>
      <c r="E79" s="95">
        <f t="shared" si="19"/>
        <v>0</v>
      </c>
      <c r="F79" s="95">
        <f t="shared" si="19"/>
        <v>0</v>
      </c>
      <c r="G79" s="95">
        <f t="shared" si="19"/>
        <v>0</v>
      </c>
      <c r="H79" s="95">
        <f t="shared" si="19"/>
        <v>0</v>
      </c>
    </row>
    <row r="80" spans="1:8" x14ac:dyDescent="0.2">
      <c r="A80" s="93" t="str">
        <f>A43</f>
        <v>Bajra</v>
      </c>
      <c r="B80" s="95"/>
      <c r="C80" s="95"/>
      <c r="D80" s="95"/>
      <c r="E80" s="95"/>
      <c r="F80" s="95"/>
      <c r="G80" s="95"/>
      <c r="H80" s="95"/>
    </row>
    <row r="81" spans="1:8" x14ac:dyDescent="0.2">
      <c r="A81" s="93"/>
      <c r="B81" s="95"/>
      <c r="C81" s="95"/>
      <c r="D81" s="95"/>
      <c r="E81" s="95"/>
      <c r="F81" s="95"/>
      <c r="G81" s="95"/>
      <c r="H81" s="95"/>
    </row>
    <row r="82" spans="1:8" x14ac:dyDescent="0.2">
      <c r="A82" s="93"/>
      <c r="B82" s="95"/>
      <c r="C82" s="95"/>
      <c r="D82" s="95"/>
      <c r="E82" s="95"/>
      <c r="F82" s="95"/>
      <c r="G82" s="95"/>
      <c r="H82" s="95"/>
    </row>
    <row r="83" spans="1:8" x14ac:dyDescent="0.2">
      <c r="A83" s="93" t="str">
        <f>A44</f>
        <v>Jawar</v>
      </c>
      <c r="B83" s="95"/>
      <c r="C83" s="95"/>
      <c r="D83" s="95"/>
      <c r="E83" s="95"/>
      <c r="F83" s="95"/>
      <c r="G83" s="95"/>
      <c r="H83" s="95"/>
    </row>
    <row r="84" spans="1:8" x14ac:dyDescent="0.2">
      <c r="A84" s="93"/>
      <c r="B84" s="95"/>
      <c r="C84" s="95"/>
      <c r="D84" s="95"/>
      <c r="E84" s="95"/>
      <c r="F84" s="95"/>
      <c r="G84" s="95"/>
      <c r="H84" s="95"/>
    </row>
    <row r="85" spans="1:8" x14ac:dyDescent="0.2">
      <c r="A85" s="93"/>
      <c r="B85" s="95"/>
      <c r="C85" s="95"/>
      <c r="D85" s="95"/>
      <c r="E85" s="95"/>
      <c r="F85" s="95"/>
      <c r="G85" s="95"/>
      <c r="H85" s="95"/>
    </row>
    <row r="86" spans="1:8" x14ac:dyDescent="0.2">
      <c r="A86" s="93"/>
      <c r="B86" s="95"/>
      <c r="C86" s="95"/>
      <c r="D86" s="95"/>
      <c r="E86" s="95"/>
      <c r="F86" s="95"/>
      <c r="G86" s="95"/>
      <c r="H86" s="95"/>
    </row>
    <row r="87" spans="1:8" x14ac:dyDescent="0.2">
      <c r="A87" s="93" t="str">
        <f>A45</f>
        <v>Sunflower</v>
      </c>
      <c r="B87" s="95"/>
      <c r="C87" s="95"/>
      <c r="D87" s="95"/>
      <c r="E87" s="95"/>
      <c r="F87" s="95"/>
      <c r="G87" s="95"/>
      <c r="H87" s="95"/>
    </row>
    <row r="88" spans="1:8" x14ac:dyDescent="0.2">
      <c r="A88" s="93"/>
      <c r="B88" s="95"/>
      <c r="C88" s="95"/>
      <c r="D88" s="95"/>
      <c r="E88" s="95"/>
      <c r="F88" s="95"/>
      <c r="G88" s="95"/>
      <c r="H88" s="95"/>
    </row>
    <row r="89" spans="1:8" x14ac:dyDescent="0.2">
      <c r="A89" s="93"/>
      <c r="B89" s="95"/>
      <c r="C89" s="95"/>
      <c r="D89" s="95"/>
      <c r="E89" s="95"/>
      <c r="F89" s="95"/>
      <c r="G89" s="95"/>
      <c r="H89" s="95"/>
    </row>
    <row r="90" spans="1:8" x14ac:dyDescent="0.2">
      <c r="A90" s="93"/>
      <c r="B90" s="95"/>
      <c r="C90" s="95"/>
      <c r="D90" s="95"/>
      <c r="E90" s="95"/>
      <c r="F90" s="95"/>
      <c r="G90" s="95"/>
      <c r="H90" s="95"/>
    </row>
    <row r="91" spans="1:8" x14ac:dyDescent="0.2">
      <c r="A91" s="93" t="str">
        <f>A46</f>
        <v>Wheat</v>
      </c>
      <c r="B91" s="95"/>
      <c r="C91" s="95"/>
      <c r="D91" s="95"/>
      <c r="E91" s="95"/>
      <c r="F91" s="95"/>
      <c r="G91" s="95"/>
      <c r="H91" s="95"/>
    </row>
    <row r="92" spans="1:8" x14ac:dyDescent="0.2">
      <c r="A92" s="93"/>
      <c r="B92" s="95"/>
      <c r="C92" s="95"/>
      <c r="D92" s="95"/>
      <c r="E92" s="95"/>
      <c r="F92" s="95"/>
      <c r="G92" s="95"/>
      <c r="H92" s="95"/>
    </row>
    <row r="93" spans="1:8" x14ac:dyDescent="0.2">
      <c r="A93" s="93"/>
      <c r="B93" s="95"/>
      <c r="C93" s="95"/>
      <c r="D93" s="95"/>
      <c r="E93" s="95"/>
      <c r="F93" s="95"/>
      <c r="G93" s="95"/>
      <c r="H93" s="95"/>
    </row>
    <row r="94" spans="1:8" x14ac:dyDescent="0.2">
      <c r="A94" s="93" t="str">
        <f>A47</f>
        <v>Bengal Gram/Channa</v>
      </c>
      <c r="B94" s="95"/>
      <c r="C94" s="95"/>
      <c r="D94" s="95"/>
      <c r="E94" s="95"/>
      <c r="F94" s="95"/>
      <c r="G94" s="95"/>
      <c r="H94" s="95"/>
    </row>
    <row r="95" spans="1:8" x14ac:dyDescent="0.2">
      <c r="A95" s="93" t="s">
        <v>449</v>
      </c>
      <c r="B95" s="95">
        <f t="shared" ref="B95:H95" si="20">B47*80%</f>
        <v>0</v>
      </c>
      <c r="C95" s="95">
        <f t="shared" si="20"/>
        <v>0</v>
      </c>
      <c r="D95" s="95">
        <f t="shared" si="20"/>
        <v>0</v>
      </c>
      <c r="E95" s="95">
        <f t="shared" si="20"/>
        <v>0</v>
      </c>
      <c r="F95" s="95">
        <f t="shared" si="20"/>
        <v>0</v>
      </c>
      <c r="G95" s="95">
        <f t="shared" si="20"/>
        <v>0</v>
      </c>
      <c r="H95" s="95">
        <f t="shared" si="20"/>
        <v>0</v>
      </c>
    </row>
    <row r="96" spans="1:8" x14ac:dyDescent="0.2">
      <c r="A96" s="93" t="s">
        <v>141</v>
      </c>
      <c r="B96" s="95">
        <f t="shared" ref="B96:H96" si="21">B47*20%</f>
        <v>0</v>
      </c>
      <c r="C96" s="95">
        <f t="shared" si="21"/>
        <v>0</v>
      </c>
      <c r="D96" s="95">
        <f t="shared" si="21"/>
        <v>0</v>
      </c>
      <c r="E96" s="95">
        <f t="shared" si="21"/>
        <v>0</v>
      </c>
      <c r="F96" s="95">
        <f t="shared" si="21"/>
        <v>0</v>
      </c>
      <c r="G96" s="95">
        <f t="shared" si="21"/>
        <v>0</v>
      </c>
      <c r="H96" s="95">
        <f t="shared" si="21"/>
        <v>0</v>
      </c>
    </row>
    <row r="97" spans="1:8" x14ac:dyDescent="0.2">
      <c r="A97" s="93" t="str">
        <f>A48</f>
        <v>Jawar</v>
      </c>
      <c r="B97" s="95"/>
      <c r="C97" s="95"/>
      <c r="D97" s="95"/>
      <c r="E97" s="95"/>
      <c r="F97" s="95"/>
      <c r="G97" s="95"/>
      <c r="H97" s="95"/>
    </row>
    <row r="98" spans="1:8" x14ac:dyDescent="0.2">
      <c r="A98" s="93"/>
      <c r="B98" s="95"/>
      <c r="C98" s="95"/>
      <c r="D98" s="95"/>
      <c r="E98" s="95"/>
      <c r="F98" s="95"/>
      <c r="G98" s="95"/>
      <c r="H98" s="95"/>
    </row>
    <row r="99" spans="1:8" x14ac:dyDescent="0.2">
      <c r="A99" s="93"/>
      <c r="B99" s="95"/>
      <c r="C99" s="95"/>
      <c r="D99" s="95"/>
      <c r="E99" s="95"/>
      <c r="F99" s="95"/>
      <c r="G99" s="95"/>
      <c r="H99" s="95"/>
    </row>
    <row r="100" spans="1:8" x14ac:dyDescent="0.2">
      <c r="A100" s="93" t="str">
        <f>A49</f>
        <v>Maize</v>
      </c>
      <c r="B100" s="95"/>
      <c r="C100" s="95"/>
      <c r="D100" s="95"/>
      <c r="E100" s="95"/>
      <c r="F100" s="95"/>
      <c r="G100" s="95"/>
      <c r="H100" s="95"/>
    </row>
    <row r="101" spans="1:8" x14ac:dyDescent="0.2">
      <c r="A101" s="93"/>
      <c r="B101" s="95"/>
      <c r="C101" s="95"/>
      <c r="D101" s="95"/>
      <c r="E101" s="95"/>
      <c r="F101" s="95"/>
      <c r="G101" s="95"/>
      <c r="H101" s="95"/>
    </row>
    <row r="102" spans="1:8" x14ac:dyDescent="0.2">
      <c r="A102" s="93"/>
      <c r="B102" s="95"/>
      <c r="C102" s="95"/>
      <c r="D102" s="95"/>
      <c r="E102" s="95"/>
      <c r="F102" s="95"/>
      <c r="G102" s="95"/>
      <c r="H102" s="95"/>
    </row>
    <row r="103" spans="1:8" x14ac:dyDescent="0.2">
      <c r="A103" s="93" t="str">
        <f>A50</f>
        <v>Safflower</v>
      </c>
      <c r="B103" s="95"/>
      <c r="C103" s="95"/>
      <c r="D103" s="95"/>
      <c r="E103" s="95"/>
      <c r="F103" s="95"/>
      <c r="G103" s="95"/>
      <c r="H103" s="95"/>
    </row>
    <row r="104" spans="1:8" x14ac:dyDescent="0.2">
      <c r="A104" s="93"/>
      <c r="B104" s="95"/>
      <c r="C104" s="95"/>
      <c r="D104" s="95"/>
      <c r="E104" s="95"/>
      <c r="F104" s="95"/>
      <c r="G104" s="95"/>
      <c r="H104" s="95"/>
    </row>
    <row r="105" spans="1:8" x14ac:dyDescent="0.2">
      <c r="A105" s="93"/>
      <c r="B105" s="95"/>
      <c r="C105" s="95"/>
      <c r="D105" s="95"/>
      <c r="E105" s="95"/>
      <c r="F105" s="95"/>
      <c r="G105" s="95"/>
      <c r="H105" s="95"/>
    </row>
    <row r="106" spans="1:8" x14ac:dyDescent="0.2">
      <c r="A106" s="93">
        <f>A51</f>
        <v>0</v>
      </c>
      <c r="B106" s="95"/>
      <c r="C106" s="95"/>
      <c r="D106" s="95"/>
      <c r="E106" s="95"/>
      <c r="F106" s="95"/>
      <c r="G106" s="95"/>
      <c r="H106" s="95"/>
    </row>
    <row r="107" spans="1:8" x14ac:dyDescent="0.2">
      <c r="A107" s="93"/>
      <c r="B107" s="95"/>
      <c r="C107" s="95"/>
      <c r="D107" s="95"/>
      <c r="E107" s="95"/>
      <c r="F107" s="95"/>
      <c r="G107" s="95"/>
      <c r="H107" s="95"/>
    </row>
    <row r="108" spans="1:8" x14ac:dyDescent="0.2">
      <c r="A108" s="93"/>
      <c r="B108" s="95"/>
      <c r="C108" s="95"/>
      <c r="D108" s="95"/>
      <c r="E108" s="95"/>
      <c r="F108" s="95"/>
      <c r="G108" s="95"/>
      <c r="H108" s="95"/>
    </row>
    <row r="109" spans="1:8" x14ac:dyDescent="0.2">
      <c r="A109" s="93">
        <f>A52</f>
        <v>0</v>
      </c>
      <c r="B109" s="95"/>
      <c r="C109" s="95"/>
      <c r="D109" s="95"/>
      <c r="E109" s="95"/>
      <c r="F109" s="95"/>
      <c r="G109" s="95"/>
      <c r="H109" s="95"/>
    </row>
    <row r="110" spans="1:8" x14ac:dyDescent="0.2">
      <c r="A110" s="93"/>
      <c r="B110" s="95"/>
      <c r="C110" s="95"/>
      <c r="D110" s="95"/>
      <c r="E110" s="95"/>
      <c r="F110" s="95"/>
      <c r="G110" s="95"/>
      <c r="H110" s="95"/>
    </row>
    <row r="111" spans="1:8" x14ac:dyDescent="0.2">
      <c r="A111" s="93"/>
      <c r="B111" s="95"/>
      <c r="C111" s="95"/>
      <c r="D111" s="95"/>
      <c r="E111" s="95"/>
      <c r="F111" s="95"/>
      <c r="G111" s="95"/>
      <c r="H111" s="95"/>
    </row>
    <row r="112" spans="1:8" x14ac:dyDescent="0.2">
      <c r="A112" s="93">
        <f>A53</f>
        <v>0</v>
      </c>
      <c r="B112" s="95"/>
      <c r="C112" s="95"/>
      <c r="D112" s="95"/>
      <c r="E112" s="95"/>
      <c r="F112" s="95"/>
      <c r="G112" s="95"/>
      <c r="H112" s="95"/>
    </row>
    <row r="113" spans="1:8" x14ac:dyDescent="0.2">
      <c r="A113" s="93"/>
      <c r="B113" s="95"/>
      <c r="C113" s="95"/>
      <c r="D113" s="95"/>
      <c r="E113" s="95"/>
      <c r="F113" s="95"/>
      <c r="G113" s="95"/>
      <c r="H113" s="95"/>
    </row>
    <row r="114" spans="1:8" x14ac:dyDescent="0.2">
      <c r="A114" s="93"/>
      <c r="B114" s="95"/>
      <c r="C114" s="95"/>
      <c r="D114" s="95"/>
      <c r="E114" s="95"/>
      <c r="F114" s="95"/>
      <c r="G114" s="95"/>
      <c r="H114" s="95"/>
    </row>
    <row r="115" spans="1:8" x14ac:dyDescent="0.2">
      <c r="A115" s="93" t="str">
        <f>A54</f>
        <v>Groundnut</v>
      </c>
      <c r="B115" s="95"/>
      <c r="C115" s="95"/>
      <c r="D115" s="95"/>
      <c r="E115" s="95"/>
      <c r="F115" s="95"/>
      <c r="G115" s="95"/>
      <c r="H115" s="95"/>
    </row>
    <row r="116" spans="1:8" x14ac:dyDescent="0.2">
      <c r="A116" s="93"/>
      <c r="B116" s="95"/>
      <c r="C116" s="95"/>
      <c r="D116" s="95"/>
      <c r="E116" s="95"/>
      <c r="F116" s="95"/>
      <c r="G116" s="95"/>
      <c r="H116" s="95"/>
    </row>
    <row r="117" spans="1:8" x14ac:dyDescent="0.2">
      <c r="A117" s="93"/>
      <c r="B117" s="95"/>
      <c r="C117" s="95"/>
      <c r="D117" s="95"/>
      <c r="E117" s="95"/>
      <c r="F117" s="95"/>
      <c r="G117" s="95"/>
      <c r="H117" s="95"/>
    </row>
    <row r="118" spans="1:8" x14ac:dyDescent="0.2">
      <c r="A118" s="93">
        <f>A55</f>
        <v>0</v>
      </c>
      <c r="B118" s="95"/>
      <c r="C118" s="95"/>
      <c r="D118" s="95"/>
      <c r="E118" s="95"/>
      <c r="F118" s="95"/>
      <c r="G118" s="95"/>
      <c r="H118" s="95"/>
    </row>
    <row r="119" spans="1:8" x14ac:dyDescent="0.2">
      <c r="A119" s="93"/>
      <c r="B119" s="95"/>
      <c r="C119" s="95"/>
      <c r="D119" s="95"/>
      <c r="E119" s="95"/>
      <c r="F119" s="95"/>
      <c r="G119" s="95"/>
      <c r="H119" s="95"/>
    </row>
    <row r="120" spans="1:8" x14ac:dyDescent="0.2">
      <c r="A120" s="93"/>
      <c r="B120" s="95"/>
      <c r="C120" s="95"/>
      <c r="D120" s="95"/>
      <c r="E120" s="95"/>
      <c r="F120" s="95"/>
      <c r="G120" s="95"/>
      <c r="H120" s="95"/>
    </row>
    <row r="121" spans="1:8" x14ac:dyDescent="0.2">
      <c r="A121" s="93">
        <f>A56</f>
        <v>0</v>
      </c>
      <c r="B121" s="95"/>
      <c r="C121" s="95"/>
      <c r="D121" s="95"/>
      <c r="E121" s="95"/>
      <c r="F121" s="95"/>
      <c r="G121" s="95"/>
      <c r="H121" s="95"/>
    </row>
    <row r="122" spans="1:8" x14ac:dyDescent="0.2">
      <c r="B122" s="99"/>
      <c r="C122" s="99"/>
      <c r="D122" s="99"/>
      <c r="E122" s="99"/>
      <c r="F122" s="99"/>
      <c r="G122" s="99"/>
      <c r="H122" s="99"/>
    </row>
    <row r="123" spans="1:8" x14ac:dyDescent="0.2">
      <c r="B123" s="99"/>
      <c r="C123" s="99"/>
      <c r="D123" s="99"/>
      <c r="E123" s="99"/>
      <c r="F123" s="99"/>
      <c r="G123" s="99"/>
      <c r="H123" s="99"/>
    </row>
    <row r="124" spans="1:8" x14ac:dyDescent="0.2">
      <c r="A124" s="92" t="s">
        <v>436</v>
      </c>
      <c r="B124" s="92">
        <v>50</v>
      </c>
    </row>
    <row r="131" spans="1:12" ht="18.75" x14ac:dyDescent="0.25">
      <c r="A131" s="427" t="s">
        <v>578</v>
      </c>
      <c r="B131" s="427"/>
      <c r="C131" s="427"/>
      <c r="D131" s="427"/>
      <c r="E131" s="427"/>
      <c r="F131" s="427"/>
      <c r="G131" s="427"/>
      <c r="H131" s="427"/>
      <c r="I131" s="427"/>
      <c r="J131" s="427"/>
    </row>
    <row r="132" spans="1:12" x14ac:dyDescent="0.2">
      <c r="A132" s="135"/>
      <c r="B132" s="135"/>
      <c r="C132" s="135"/>
      <c r="D132" s="135"/>
      <c r="E132" s="135"/>
      <c r="F132" s="135"/>
      <c r="G132" s="135"/>
      <c r="H132" s="135"/>
    </row>
    <row r="133" spans="1:12" x14ac:dyDescent="0.2">
      <c r="A133" s="135"/>
      <c r="B133" s="135"/>
      <c r="C133" s="135"/>
      <c r="D133" s="136">
        <v>1</v>
      </c>
      <c r="E133" s="137">
        <f>(D133*5%)+D133</f>
        <v>1.05</v>
      </c>
      <c r="F133" s="137">
        <f t="shared" ref="F133:J133" si="22">(E133*5%)+E133</f>
        <v>1.1025</v>
      </c>
      <c r="G133" s="137">
        <f t="shared" si="22"/>
        <v>1.1576250000000001</v>
      </c>
      <c r="H133" s="137">
        <f t="shared" si="22"/>
        <v>1.2155062500000002</v>
      </c>
      <c r="I133" s="137">
        <f t="shared" si="22"/>
        <v>1.2762815625000004</v>
      </c>
      <c r="J133" s="137">
        <f t="shared" si="22"/>
        <v>1.3400956406250004</v>
      </c>
    </row>
    <row r="135" spans="1:12" x14ac:dyDescent="0.2">
      <c r="A135" s="126" t="s">
        <v>0</v>
      </c>
      <c r="B135" s="126" t="s">
        <v>132</v>
      </c>
      <c r="C135" s="126" t="s">
        <v>152</v>
      </c>
      <c r="D135" s="127" t="s">
        <v>2</v>
      </c>
      <c r="E135" s="127" t="s">
        <v>3</v>
      </c>
      <c r="F135" s="127" t="s">
        <v>4</v>
      </c>
      <c r="G135" s="127" t="s">
        <v>5</v>
      </c>
      <c r="H135" s="127" t="s">
        <v>6</v>
      </c>
      <c r="I135" s="127" t="s">
        <v>168</v>
      </c>
      <c r="J135" s="127" t="s">
        <v>167</v>
      </c>
    </row>
    <row r="136" spans="1:12" x14ac:dyDescent="0.2">
      <c r="A136" s="93"/>
      <c r="B136" s="93"/>
      <c r="C136" s="93"/>
      <c r="D136" s="93"/>
      <c r="E136" s="93"/>
      <c r="F136" s="93"/>
      <c r="G136" s="93"/>
      <c r="H136" s="93"/>
      <c r="I136" s="93"/>
      <c r="J136" s="93"/>
    </row>
    <row r="137" spans="1:12" x14ac:dyDescent="0.2">
      <c r="A137" s="98" t="s">
        <v>126</v>
      </c>
      <c r="B137" s="98"/>
      <c r="C137" s="98"/>
      <c r="D137" s="386"/>
      <c r="E137" s="386"/>
      <c r="F137" s="386"/>
      <c r="G137" s="386"/>
      <c r="H137" s="386"/>
      <c r="I137" s="93"/>
      <c r="J137" s="93"/>
    </row>
    <row r="138" spans="1:12" x14ac:dyDescent="0.2">
      <c r="A138" s="98" t="s">
        <v>710</v>
      </c>
      <c r="B138" s="98"/>
      <c r="C138" s="98"/>
      <c r="D138" s="93"/>
      <c r="E138" s="93"/>
      <c r="F138" s="93"/>
      <c r="G138" s="93"/>
      <c r="H138" s="93"/>
      <c r="I138" s="93"/>
      <c r="J138" s="93"/>
    </row>
    <row r="139" spans="1:12" x14ac:dyDescent="0.2">
      <c r="A139" s="93" t="str">
        <f>Output!K21</f>
        <v>Strawberry</v>
      </c>
      <c r="B139" s="93" t="s">
        <v>755</v>
      </c>
      <c r="C139" s="93"/>
      <c r="D139" s="144">
        <f>((1-'5.Closing Stock &amp; W Capital'!$D$17)*Output!L21)*$C139*D$133</f>
        <v>0</v>
      </c>
      <c r="E139" s="144">
        <f>(((1-'5.Closing Stock &amp; W Capital'!$D$17)*Output!M21)+('5.Closing Stock &amp; W Capital'!$D$17*Output!L21))*$C139*E$133</f>
        <v>0</v>
      </c>
      <c r="F139" s="144">
        <f>(((1-'5.Closing Stock &amp; W Capital'!$D$17)*Output!N21)+('5.Closing Stock &amp; W Capital'!$D$17*Output!M21))*$C139*F$133</f>
        <v>0</v>
      </c>
      <c r="G139" s="144">
        <f>(((1-'5.Closing Stock &amp; W Capital'!$D$17)*Output!O21)+('5.Closing Stock &amp; W Capital'!$D$17*Output!N21))*$C139*G$133</f>
        <v>0</v>
      </c>
      <c r="H139" s="144">
        <f>(((1-'5.Closing Stock &amp; W Capital'!$D$17)*Output!P21)+('5.Closing Stock &amp; W Capital'!$D$17*Output!O21))*$C139*H$133</f>
        <v>0</v>
      </c>
      <c r="I139" s="95">
        <f>(((1-'5.Closing Stock &amp; W Capital'!$D$17)*Output!Q21)+('5.Closing Stock &amp; W Capital'!$D$17*Output!P21))*$C139*I$133</f>
        <v>0</v>
      </c>
      <c r="J139" s="95">
        <f>(((1-'5.Closing Stock &amp; W Capital'!$D$17)*Output!R21)+('5.Closing Stock &amp; W Capital'!$D$17*Output!Q21))*$C139*J$133</f>
        <v>0</v>
      </c>
      <c r="K139" s="146"/>
      <c r="L139" s="146"/>
    </row>
    <row r="140" spans="1:12" x14ac:dyDescent="0.2">
      <c r="A140" s="93"/>
      <c r="B140" s="93" t="s">
        <v>755</v>
      </c>
      <c r="C140" s="93"/>
      <c r="D140" s="144"/>
      <c r="E140" s="144"/>
      <c r="F140" s="144"/>
      <c r="G140" s="144"/>
      <c r="H140" s="144"/>
      <c r="I140" s="95"/>
      <c r="J140" s="95"/>
      <c r="K140" s="146"/>
      <c r="L140" s="146"/>
    </row>
    <row r="141" spans="1:12" x14ac:dyDescent="0.2">
      <c r="A141" s="93">
        <f>Output!K24</f>
        <v>0</v>
      </c>
      <c r="B141" s="93" t="s">
        <v>755</v>
      </c>
      <c r="C141" s="93"/>
      <c r="D141" s="144">
        <f>((1-'5.Closing Stock &amp; W Capital'!$D$17)*Output!L24)*$C141*D$133</f>
        <v>0</v>
      </c>
      <c r="E141" s="144">
        <f>(((1-'5.Closing Stock &amp; W Capital'!$D$17)*Output!M24)+('5.Closing Stock &amp; W Capital'!$D$17*Output!L24))*$C141*E$133</f>
        <v>0</v>
      </c>
      <c r="F141" s="144">
        <f>(((1-'5.Closing Stock &amp; W Capital'!$D$17)*Output!N24)+('5.Closing Stock &amp; W Capital'!$D$17*Output!M24))*$C141*F$133</f>
        <v>0</v>
      </c>
      <c r="G141" s="144">
        <f>(((1-'5.Closing Stock &amp; W Capital'!$D$17)*Output!O24)+('5.Closing Stock &amp; W Capital'!$D$17*Output!N24))*$C141*G$133</f>
        <v>0</v>
      </c>
      <c r="H141" s="144">
        <f>(((1-'5.Closing Stock &amp; W Capital'!$D$17)*Output!P24)+('5.Closing Stock &amp; W Capital'!$D$17*Output!O24))*$C141*H$133</f>
        <v>0</v>
      </c>
      <c r="I141" s="95">
        <f>(((1-'5.Closing Stock &amp; W Capital'!$D$17)*Output!Q24)+('5.Closing Stock &amp; W Capital'!$D$17*Output!P24))*$C141*I$133</f>
        <v>0</v>
      </c>
      <c r="J141" s="95">
        <f>(((1-'5.Closing Stock &amp; W Capital'!$D$17)*Output!R24)+('5.Closing Stock &amp; W Capital'!$D$17*Output!Q24))*$C141*J$133</f>
        <v>0</v>
      </c>
    </row>
    <row r="142" spans="1:12" x14ac:dyDescent="0.2">
      <c r="A142" s="93">
        <f>Output!K25</f>
        <v>0</v>
      </c>
      <c r="B142" s="93" t="s">
        <v>755</v>
      </c>
      <c r="C142" s="93"/>
      <c r="D142" s="144">
        <f>((1-'5.Closing Stock &amp; W Capital'!$D$17)*Output!L25)*$C142*D$133</f>
        <v>0</v>
      </c>
      <c r="E142" s="144">
        <f>(((1-'5.Closing Stock &amp; W Capital'!$D$17)*Output!M25)+('5.Closing Stock &amp; W Capital'!$D$17*Output!L25))*$C142*E$133</f>
        <v>0</v>
      </c>
      <c r="F142" s="144">
        <f>(((1-'5.Closing Stock &amp; W Capital'!$D$17)*Output!N25)+('5.Closing Stock &amp; W Capital'!$D$17*Output!M25))*$C142*F$133</f>
        <v>0</v>
      </c>
      <c r="G142" s="144">
        <f>(((1-'5.Closing Stock &amp; W Capital'!$D$17)*Output!O25)+('5.Closing Stock &amp; W Capital'!$D$17*Output!N25))*$C142*G$133</f>
        <v>0</v>
      </c>
      <c r="H142" s="144">
        <f>(((1-'5.Closing Stock &amp; W Capital'!$D$17)*Output!P25)+('5.Closing Stock &amp; W Capital'!$D$17*Output!O25))*$C142*H$133</f>
        <v>0</v>
      </c>
      <c r="I142" s="95">
        <f>(((1-'5.Closing Stock &amp; W Capital'!$D$17)*Output!Q25)+('5.Closing Stock &amp; W Capital'!$D$17*Output!P25))*$C142*I$133</f>
        <v>0</v>
      </c>
      <c r="J142" s="95">
        <f>(((1-'5.Closing Stock &amp; W Capital'!$D$17)*Output!R25)+('5.Closing Stock &amp; W Capital'!$D$17*Output!Q25))*$C142*J$133</f>
        <v>0</v>
      </c>
    </row>
    <row r="143" spans="1:12" x14ac:dyDescent="0.2">
      <c r="A143" s="93">
        <f>Output!K26</f>
        <v>0</v>
      </c>
      <c r="B143" s="93" t="s">
        <v>755</v>
      </c>
      <c r="C143" s="93"/>
      <c r="D143" s="144">
        <f>((1-'5.Closing Stock &amp; W Capital'!$D$17)*Output!L26)*$C143*D$133</f>
        <v>0</v>
      </c>
      <c r="E143" s="144">
        <f>(((1-'5.Closing Stock &amp; W Capital'!$D$17)*Output!M26)+('5.Closing Stock &amp; W Capital'!$D$17*Output!L26))*$C143*E$133</f>
        <v>0</v>
      </c>
      <c r="F143" s="144">
        <f>(((1-'5.Closing Stock &amp; W Capital'!$D$17)*Output!N26)+('5.Closing Stock &amp; W Capital'!$D$17*Output!M26))*$C143*F$133</f>
        <v>0</v>
      </c>
      <c r="G143" s="144">
        <f>(((1-'5.Closing Stock &amp; W Capital'!$D$17)*Output!O26)+('5.Closing Stock &amp; W Capital'!$D$17*Output!N26))*$C143*G$133</f>
        <v>0</v>
      </c>
      <c r="H143" s="144">
        <f>(((1-'5.Closing Stock &amp; W Capital'!$D$17)*Output!P26)+('5.Closing Stock &amp; W Capital'!$D$17*Output!O26))*$C143*H$133</f>
        <v>0</v>
      </c>
      <c r="I143" s="95">
        <f>(((1-'5.Closing Stock &amp; W Capital'!$D$17)*Output!Q26)+('5.Closing Stock &amp; W Capital'!$D$17*Output!P26))*$C143*I$133</f>
        <v>0</v>
      </c>
      <c r="J143" s="95">
        <f>(((1-'5.Closing Stock &amp; W Capital'!$D$17)*Output!R26)+('5.Closing Stock &amp; W Capital'!$D$17*Output!Q26))*$C143*J$133</f>
        <v>0</v>
      </c>
    </row>
    <row r="144" spans="1:12" x14ac:dyDescent="0.2">
      <c r="A144" s="98" t="s">
        <v>709</v>
      </c>
      <c r="B144" s="93"/>
      <c r="C144" s="93"/>
      <c r="D144" s="144"/>
      <c r="E144" s="144"/>
      <c r="F144" s="144"/>
      <c r="G144" s="144"/>
      <c r="H144" s="144"/>
      <c r="I144" s="95"/>
      <c r="J144" s="95"/>
    </row>
    <row r="145" spans="1:10" x14ac:dyDescent="0.2">
      <c r="A145" s="93" t="str">
        <f>A139</f>
        <v>Strawberry</v>
      </c>
      <c r="B145" s="93" t="s">
        <v>353</v>
      </c>
      <c r="C145" s="93"/>
      <c r="D145" s="144"/>
      <c r="E145" s="144"/>
      <c r="F145" s="144"/>
      <c r="G145" s="144"/>
      <c r="H145" s="144"/>
      <c r="I145" s="95"/>
      <c r="J145" s="95"/>
    </row>
    <row r="146" spans="1:10" x14ac:dyDescent="0.2">
      <c r="A146" s="93">
        <f t="shared" ref="A146:A149" si="23">A140</f>
        <v>0</v>
      </c>
      <c r="B146" s="93" t="str">
        <f>B145</f>
        <v>50 Kg</v>
      </c>
      <c r="C146" s="93"/>
      <c r="D146" s="144"/>
      <c r="E146" s="144"/>
      <c r="F146" s="144"/>
      <c r="G146" s="144"/>
      <c r="H146" s="144"/>
      <c r="I146" s="95"/>
      <c r="J146" s="95"/>
    </row>
    <row r="147" spans="1:10" x14ac:dyDescent="0.2">
      <c r="A147" s="93">
        <f t="shared" si="23"/>
        <v>0</v>
      </c>
      <c r="B147" s="93" t="str">
        <f t="shared" ref="B147:B149" si="24">B146</f>
        <v>50 Kg</v>
      </c>
      <c r="C147" s="93"/>
      <c r="D147" s="144"/>
      <c r="E147" s="144"/>
      <c r="F147" s="144"/>
      <c r="G147" s="144"/>
      <c r="H147" s="144"/>
      <c r="I147" s="95"/>
      <c r="J147" s="95"/>
    </row>
    <row r="148" spans="1:10" x14ac:dyDescent="0.2">
      <c r="A148" s="93">
        <f t="shared" si="23"/>
        <v>0</v>
      </c>
      <c r="B148" s="93" t="str">
        <f t="shared" si="24"/>
        <v>50 Kg</v>
      </c>
      <c r="C148" s="93"/>
      <c r="D148" s="144"/>
      <c r="E148" s="144"/>
      <c r="F148" s="144"/>
      <c r="G148" s="144"/>
      <c r="H148" s="144"/>
      <c r="I148" s="95"/>
      <c r="J148" s="95"/>
    </row>
    <row r="149" spans="1:10" x14ac:dyDescent="0.2">
      <c r="A149" s="93">
        <f t="shared" si="23"/>
        <v>0</v>
      </c>
      <c r="B149" s="93" t="str">
        <f t="shared" si="24"/>
        <v>50 Kg</v>
      </c>
      <c r="C149" s="93"/>
      <c r="D149" s="144"/>
      <c r="E149" s="144"/>
      <c r="F149" s="144"/>
      <c r="G149" s="144"/>
      <c r="H149" s="144"/>
      <c r="I149" s="95"/>
      <c r="J149" s="95"/>
    </row>
    <row r="150" spans="1:10" x14ac:dyDescent="0.2">
      <c r="A150" s="98" t="s">
        <v>126</v>
      </c>
      <c r="B150" s="98"/>
      <c r="C150" s="98"/>
      <c r="D150" s="142">
        <f t="shared" ref="D150:J150" si="25">SUM(D139:D149)</f>
        <v>0</v>
      </c>
      <c r="E150" s="142">
        <f t="shared" si="25"/>
        <v>0</v>
      </c>
      <c r="F150" s="142">
        <f t="shared" si="25"/>
        <v>0</v>
      </c>
      <c r="G150" s="142">
        <f t="shared" si="25"/>
        <v>0</v>
      </c>
      <c r="H150" s="142">
        <f t="shared" si="25"/>
        <v>0</v>
      </c>
      <c r="I150" s="104">
        <f t="shared" si="25"/>
        <v>0</v>
      </c>
      <c r="J150" s="104">
        <f t="shared" si="25"/>
        <v>0</v>
      </c>
    </row>
    <row r="151" spans="1:10" x14ac:dyDescent="0.2">
      <c r="A151" s="93"/>
      <c r="B151" s="93"/>
      <c r="C151" s="93"/>
      <c r="D151" s="144"/>
      <c r="E151" s="144"/>
      <c r="F151" s="144"/>
      <c r="G151" s="144"/>
      <c r="H151" s="144"/>
      <c r="I151" s="95"/>
      <c r="J151" s="95"/>
    </row>
    <row r="152" spans="1:10" x14ac:dyDescent="0.2">
      <c r="A152" s="98" t="s">
        <v>142</v>
      </c>
      <c r="B152" s="98"/>
      <c r="C152" s="98"/>
      <c r="D152" s="144"/>
      <c r="E152" s="144"/>
      <c r="F152" s="144"/>
      <c r="G152" s="144"/>
      <c r="H152" s="144"/>
      <c r="I152" s="95"/>
      <c r="J152" s="95"/>
    </row>
    <row r="153" spans="1:10" x14ac:dyDescent="0.2">
      <c r="A153" s="98" t="s">
        <v>306</v>
      </c>
      <c r="B153" s="98"/>
      <c r="C153" s="93"/>
      <c r="D153" s="144"/>
      <c r="E153" s="144"/>
      <c r="F153" s="144"/>
      <c r="G153" s="144"/>
      <c r="H153" s="144"/>
      <c r="I153" s="95"/>
      <c r="J153" s="95"/>
    </row>
    <row r="154" spans="1:10" x14ac:dyDescent="0.2">
      <c r="A154" s="93" t="str">
        <f>A145</f>
        <v>Strawberry</v>
      </c>
      <c r="B154" s="93" t="s">
        <v>355</v>
      </c>
      <c r="C154" s="144"/>
      <c r="D154" s="144">
        <f>(Output!L13/100)*$C154*D$133</f>
        <v>0</v>
      </c>
      <c r="E154" s="144">
        <f>(Output!M13/100)*$C154*E$133</f>
        <v>0</v>
      </c>
      <c r="F154" s="144">
        <f>(Output!N13/100)*$C154*F$133</f>
        <v>0</v>
      </c>
      <c r="G154" s="144">
        <f>(Output!O13/100)*$C154*G$133</f>
        <v>0</v>
      </c>
      <c r="H154" s="144">
        <f>(Output!P13/100)*$C154*H$133</f>
        <v>0</v>
      </c>
      <c r="I154" s="95">
        <f>(Output!Q13/100)*$C154*I$133</f>
        <v>0</v>
      </c>
      <c r="J154" s="95">
        <f>(Output!R13/100)*$C154*J$133</f>
        <v>0</v>
      </c>
    </row>
    <row r="155" spans="1:10" x14ac:dyDescent="0.2">
      <c r="A155" s="93">
        <f t="shared" ref="A155:A158" si="26">A146</f>
        <v>0</v>
      </c>
      <c r="B155" s="93" t="s">
        <v>355</v>
      </c>
      <c r="C155" s="144">
        <v>6500</v>
      </c>
      <c r="D155" s="144">
        <f>(Output!L15/100)*$C155*D$133</f>
        <v>0</v>
      </c>
      <c r="E155" s="144">
        <f>(Output!M15/100)*$C155*E$133</f>
        <v>0</v>
      </c>
      <c r="F155" s="144">
        <f>(Output!N15/100)*$C155*F$133</f>
        <v>0</v>
      </c>
      <c r="G155" s="144">
        <f>(Output!O15/100)*$C155*G$133</f>
        <v>0</v>
      </c>
      <c r="H155" s="144">
        <f>(Output!P15/100)*$C155*H$133</f>
        <v>0</v>
      </c>
      <c r="I155" s="95">
        <f>(Output!Q15/100)*$C155*I$133</f>
        <v>0</v>
      </c>
      <c r="J155" s="95">
        <f>(Output!R15/100)*$C155*J$133</f>
        <v>0</v>
      </c>
    </row>
    <row r="156" spans="1:10" x14ac:dyDescent="0.2">
      <c r="A156" s="93">
        <f t="shared" si="26"/>
        <v>0</v>
      </c>
      <c r="B156" s="93" t="s">
        <v>355</v>
      </c>
      <c r="C156" s="144">
        <v>7500</v>
      </c>
      <c r="D156" s="144">
        <f>(Output!L16/100)*$C156*D$133</f>
        <v>0</v>
      </c>
      <c r="E156" s="144">
        <f>(Output!M16/100)*$C156*E$133</f>
        <v>0</v>
      </c>
      <c r="F156" s="144">
        <f>(Output!N16/100)*$C156*F$133</f>
        <v>0</v>
      </c>
      <c r="G156" s="144">
        <f>(Output!O16/100)*$C156*G$133</f>
        <v>0</v>
      </c>
      <c r="H156" s="144">
        <f>(Output!P16/100)*$C156*H$133</f>
        <v>0</v>
      </c>
      <c r="I156" s="95">
        <f>(Output!Q16/100)*$C156*I$133</f>
        <v>0</v>
      </c>
      <c r="J156" s="95">
        <f>(Output!R16/100)*$C156*J$133</f>
        <v>0</v>
      </c>
    </row>
    <row r="157" spans="1:10" x14ac:dyDescent="0.2">
      <c r="A157" s="93">
        <f t="shared" si="26"/>
        <v>0</v>
      </c>
      <c r="B157" s="93" t="s">
        <v>355</v>
      </c>
      <c r="C157" s="144">
        <v>11800</v>
      </c>
      <c r="D157" s="144">
        <f>(Output!L17/100)*$C157*D$133</f>
        <v>0</v>
      </c>
      <c r="E157" s="144">
        <f>(Output!M17/100)*$C157*E$133</f>
        <v>0</v>
      </c>
      <c r="F157" s="144">
        <f>(Output!N17/100)*$C157*F$133</f>
        <v>0</v>
      </c>
      <c r="G157" s="144">
        <f>(Output!O17/100)*$C157*G$133</f>
        <v>0</v>
      </c>
      <c r="H157" s="144">
        <f>(Output!P17/100)*$C157*H$133</f>
        <v>0</v>
      </c>
      <c r="I157" s="95">
        <f>(Output!Q17/100)*$C157*I$133</f>
        <v>0</v>
      </c>
      <c r="J157" s="95">
        <f>(Output!R17/100)*$C157*J$133</f>
        <v>0</v>
      </c>
    </row>
    <row r="158" spans="1:10" x14ac:dyDescent="0.2">
      <c r="A158" s="93">
        <f t="shared" si="26"/>
        <v>0</v>
      </c>
      <c r="B158" s="93" t="s">
        <v>355</v>
      </c>
      <c r="C158" s="144">
        <v>5500</v>
      </c>
      <c r="D158" s="144">
        <f>(Output!L18/100)*$C158*D$133</f>
        <v>0</v>
      </c>
      <c r="E158" s="144">
        <f>(Output!M18/100)*$C158*E$133</f>
        <v>0</v>
      </c>
      <c r="F158" s="144">
        <f>(Output!N18/100)*$C158*F$133</f>
        <v>0</v>
      </c>
      <c r="G158" s="144">
        <f>(Output!O18/100)*$C158*G$133</f>
        <v>0</v>
      </c>
      <c r="H158" s="144">
        <f>(Output!P18/100)*$C158*H$133</f>
        <v>0</v>
      </c>
      <c r="I158" s="95">
        <f>(Output!Q18/100)*$C158*I$133</f>
        <v>0</v>
      </c>
      <c r="J158" s="95">
        <f>(Output!R18/100)*$C158*J$133</f>
        <v>0</v>
      </c>
    </row>
    <row r="159" spans="1:10" x14ac:dyDescent="0.2">
      <c r="A159" s="93" t="s">
        <v>311</v>
      </c>
      <c r="B159" s="93"/>
      <c r="C159" s="93"/>
      <c r="D159" s="144">
        <f>(Output!L9*'13.Facility 2 Grain Processing'!$B$159*'13.Facility 2 Grain Processing'!$C$159*'13.Facility 2 Grain Processing'!D133)</f>
        <v>0</v>
      </c>
      <c r="E159" s="144">
        <f>(Output!M9*'13.Facility 2 Grain Processing'!$B$159*'13.Facility 2 Grain Processing'!$C$159*'13.Facility 2 Grain Processing'!E133)</f>
        <v>0</v>
      </c>
      <c r="F159" s="144">
        <f>(Output!N9*'13.Facility 2 Grain Processing'!$B$159*'13.Facility 2 Grain Processing'!$C$159*'13.Facility 2 Grain Processing'!F133)</f>
        <v>0</v>
      </c>
      <c r="G159" s="144">
        <f>(Output!O9*'13.Facility 2 Grain Processing'!$B$159*'13.Facility 2 Grain Processing'!$C$159*'13.Facility 2 Grain Processing'!G133)</f>
        <v>0</v>
      </c>
      <c r="H159" s="144">
        <f>(Output!P9*'13.Facility 2 Grain Processing'!$B$159*'13.Facility 2 Grain Processing'!$C$159*'13.Facility 2 Grain Processing'!H133)</f>
        <v>0</v>
      </c>
      <c r="I159" s="95">
        <f>(Output!Q9*'13.Facility 2 Grain Processing'!$B$159*'13.Facility 2 Grain Processing'!$C$159*'13.Facility 2 Grain Processing'!I133)</f>
        <v>0</v>
      </c>
      <c r="J159" s="95">
        <f>(Output!R9*'13.Facility 2 Grain Processing'!$B$159*'13.Facility 2 Grain Processing'!$C$159*'13.Facility 2 Grain Processing'!J133)</f>
        <v>0</v>
      </c>
    </row>
    <row r="160" spans="1:10" x14ac:dyDescent="0.2">
      <c r="A160" s="93" t="s">
        <v>144</v>
      </c>
      <c r="B160" s="93"/>
      <c r="C160" s="93"/>
      <c r="D160" s="144">
        <f>(Output!L9*$B$160*$C$160*D133)</f>
        <v>0</v>
      </c>
      <c r="E160" s="144">
        <f>(Output!M9*$B$160*$C$160*E133)</f>
        <v>0</v>
      </c>
      <c r="F160" s="144">
        <f>(Output!N9*$B$160*$C$160*F133)</f>
        <v>0</v>
      </c>
      <c r="G160" s="144">
        <f>(Output!O9*$B$160*$C$160*G133)</f>
        <v>0</v>
      </c>
      <c r="H160" s="144">
        <f>(Output!P9*$B$160*$C$160*H133)</f>
        <v>0</v>
      </c>
      <c r="I160" s="95">
        <f>(Output!Q9*$B$160*$C$160*I133)</f>
        <v>0</v>
      </c>
      <c r="J160" s="95">
        <f>(Output!R9*$B$160*$C$160*J133)</f>
        <v>0</v>
      </c>
    </row>
    <row r="161" spans="1:10" x14ac:dyDescent="0.2">
      <c r="A161" s="93" t="s">
        <v>290</v>
      </c>
      <c r="B161" s="93"/>
      <c r="C161" s="93"/>
      <c r="D161" s="144">
        <f>(Output!L10/50)*$C$161*D133</f>
        <v>0</v>
      </c>
      <c r="E161" s="144">
        <f>(Output!M10/50)*$C$161*E133</f>
        <v>0</v>
      </c>
      <c r="F161" s="144">
        <f>(Output!N10/50)*$C$161*F133</f>
        <v>0</v>
      </c>
      <c r="G161" s="144">
        <f>(Output!O10/50)*$C$161*G133</f>
        <v>0</v>
      </c>
      <c r="H161" s="144">
        <f>(Output!P10/50)*$C$161*H133</f>
        <v>0</v>
      </c>
      <c r="I161" s="95">
        <f>(Output!Q10/50)*$C$161*I133</f>
        <v>0</v>
      </c>
      <c r="J161" s="95">
        <f>(Output!R10/50)*$C$161*J133</f>
        <v>0</v>
      </c>
    </row>
    <row r="162" spans="1:10" x14ac:dyDescent="0.2">
      <c r="A162" s="93" t="s">
        <v>749</v>
      </c>
      <c r="B162" s="93"/>
      <c r="C162" s="125"/>
      <c r="D162" s="144">
        <f>'2.Capex Details'!$G$68*$C$162*D133</f>
        <v>0</v>
      </c>
      <c r="E162" s="144">
        <f>'2.Capex Details'!$G$68*$C$162*E133</f>
        <v>0</v>
      </c>
      <c r="F162" s="144">
        <f>'2.Capex Details'!$G$68*$C$162*F133</f>
        <v>0</v>
      </c>
      <c r="G162" s="144">
        <f>'2.Capex Details'!$G$68*$C$162*G133</f>
        <v>0</v>
      </c>
      <c r="H162" s="144">
        <f>'2.Capex Details'!$G$68*$C$162*H133</f>
        <v>0</v>
      </c>
      <c r="I162" s="95">
        <f>'2.Capex Details'!$G$68*$C$162*I133</f>
        <v>0</v>
      </c>
      <c r="J162" s="95">
        <f>'2.Capex Details'!$G$68*$C$162*J133</f>
        <v>0</v>
      </c>
    </row>
    <row r="163" spans="1:10" x14ac:dyDescent="0.2">
      <c r="A163" s="245" t="s">
        <v>711</v>
      </c>
      <c r="B163" s="245"/>
      <c r="C163" s="245"/>
      <c r="D163" s="144">
        <f>SUM(Output!L21:L26)*$C$163*D133</f>
        <v>0</v>
      </c>
      <c r="E163" s="144">
        <f>SUM(Output!M21:M26)*$C$163*E133</f>
        <v>0</v>
      </c>
      <c r="F163" s="144">
        <f>SUM(Output!N21:N26)*$C$163*F133</f>
        <v>0</v>
      </c>
      <c r="G163" s="144">
        <f>SUM(Output!O21:O26)*$C$163*G133</f>
        <v>0</v>
      </c>
      <c r="H163" s="144">
        <f>SUM(Output!P21:P26)*$C$163*H133</f>
        <v>0</v>
      </c>
      <c r="I163" s="95">
        <f>SUM(Output!Q21:Q26)*$C$163*I133</f>
        <v>0</v>
      </c>
      <c r="J163" s="95">
        <f>SUM(Output!R21:R26)*$C$163*J133</f>
        <v>0</v>
      </c>
    </row>
    <row r="164" spans="1:10" x14ac:dyDescent="0.2">
      <c r="A164" s="245" t="s">
        <v>712</v>
      </c>
      <c r="B164" s="245"/>
      <c r="C164" s="245"/>
      <c r="D164" s="144">
        <f>SUM(Output!L21:L26)*$C$164*D133</f>
        <v>0</v>
      </c>
      <c r="E164" s="144">
        <f>SUM(Output!M21:M26)*$C$164*E133</f>
        <v>0</v>
      </c>
      <c r="F164" s="144">
        <f>SUM(Output!N21:N26)*$C$164*F133</f>
        <v>0</v>
      </c>
      <c r="G164" s="144">
        <f>SUM(Output!O21:O26)*$C$164*G133</f>
        <v>0</v>
      </c>
      <c r="H164" s="144">
        <f>SUM(Output!P21:P26)*$C$164*H133</f>
        <v>0</v>
      </c>
      <c r="I164" s="95">
        <f>SUM(Output!Q21:Q26)*$C$164*I133</f>
        <v>0</v>
      </c>
      <c r="J164" s="95">
        <f>SUM(Output!R21:R26)*$C$164*J133</f>
        <v>0</v>
      </c>
    </row>
    <row r="165" spans="1:10" x14ac:dyDescent="0.2">
      <c r="A165" s="93" t="s">
        <v>750</v>
      </c>
      <c r="B165" s="93"/>
      <c r="C165" s="93"/>
      <c r="D165" s="144">
        <f>SUM(Output!L10/100)*$C$165*D133</f>
        <v>0</v>
      </c>
      <c r="E165" s="144">
        <f>SUM(Output!M10/100)*$C$165*E133</f>
        <v>0</v>
      </c>
      <c r="F165" s="144">
        <f>SUM(Output!N10/100)*$C$165*F133</f>
        <v>0</v>
      </c>
      <c r="G165" s="144">
        <f>SUM(Output!O10/100)*$C$165*G133</f>
        <v>0</v>
      </c>
      <c r="H165" s="144">
        <f>SUM(Output!P10/100)*$C$165*H133</f>
        <v>0</v>
      </c>
      <c r="I165" s="95">
        <f>SUM(Output!Q10/100)*$C$165*I133</f>
        <v>0</v>
      </c>
      <c r="J165" s="95">
        <f>SUM(Output!R10/100)*$C$165*J133</f>
        <v>0</v>
      </c>
    </row>
    <row r="166" spans="1:10" x14ac:dyDescent="0.2">
      <c r="A166" s="93" t="s">
        <v>751</v>
      </c>
      <c r="B166" s="93"/>
      <c r="C166" s="93"/>
      <c r="D166" s="144">
        <f>SUM(Output!L21:L27)*$C$166*D133</f>
        <v>0</v>
      </c>
      <c r="E166" s="144">
        <f>SUM(Output!M21:M27)*$C$166*E133</f>
        <v>0</v>
      </c>
      <c r="F166" s="144">
        <f>SUM(Output!N21:N27)*$C$166*F133</f>
        <v>0</v>
      </c>
      <c r="G166" s="144">
        <f>SUM(Output!O21:O27)*$C$166*G133</f>
        <v>0</v>
      </c>
      <c r="H166" s="144">
        <f>SUM(Output!P21:P27)*$C$166*H133</f>
        <v>0</v>
      </c>
      <c r="I166" s="95">
        <f>SUM(Output!Q21:Q27)*$C$166*I133</f>
        <v>0</v>
      </c>
      <c r="J166" s="95">
        <f>SUM(Output!R21:R27)*$C$166*J133</f>
        <v>0</v>
      </c>
    </row>
    <row r="167" spans="1:10" x14ac:dyDescent="0.2">
      <c r="A167" s="93"/>
      <c r="B167" s="93"/>
      <c r="C167" s="93"/>
      <c r="D167" s="145"/>
      <c r="E167" s="93"/>
      <c r="F167" s="93"/>
      <c r="G167" s="93"/>
      <c r="H167" s="93"/>
      <c r="I167" s="93"/>
      <c r="J167" s="93"/>
    </row>
    <row r="168" spans="1:10" x14ac:dyDescent="0.2">
      <c r="A168" s="93"/>
      <c r="B168" s="93"/>
      <c r="C168" s="93"/>
      <c r="D168" s="128"/>
      <c r="E168" s="93"/>
      <c r="F168" s="93"/>
      <c r="G168" s="93"/>
      <c r="H168" s="93"/>
      <c r="I168" s="93"/>
      <c r="J168" s="93"/>
    </row>
    <row r="169" spans="1:10" x14ac:dyDescent="0.2">
      <c r="A169" s="93"/>
      <c r="B169" s="93"/>
      <c r="C169" s="93"/>
      <c r="D169" s="93"/>
      <c r="E169" s="93"/>
      <c r="F169" s="93"/>
      <c r="G169" s="93"/>
      <c r="H169" s="93"/>
      <c r="I169" s="93"/>
      <c r="J169" s="93"/>
    </row>
    <row r="170" spans="1:10" x14ac:dyDescent="0.2">
      <c r="A170" s="144" t="s">
        <v>334</v>
      </c>
      <c r="B170" s="144"/>
      <c r="C170" s="144"/>
      <c r="D170" s="144"/>
      <c r="E170" s="144">
        <f>'5.Closing Stock &amp; W Capital'!F8</f>
        <v>0</v>
      </c>
      <c r="F170" s="144">
        <f>'5.Closing Stock &amp; W Capital'!G8</f>
        <v>0</v>
      </c>
      <c r="G170" s="144">
        <f>'5.Closing Stock &amp; W Capital'!H8</f>
        <v>0</v>
      </c>
      <c r="H170" s="144">
        <f>'5.Closing Stock &amp; W Capital'!I8</f>
        <v>0</v>
      </c>
      <c r="I170" s="95">
        <f>'5.Closing Stock &amp; W Capital'!J8</f>
        <v>0</v>
      </c>
      <c r="J170" s="95">
        <f>'5.Closing Stock &amp; W Capital'!K8</f>
        <v>0</v>
      </c>
    </row>
    <row r="171" spans="1:10" x14ac:dyDescent="0.2">
      <c r="A171" s="144" t="s">
        <v>335</v>
      </c>
      <c r="B171" s="144"/>
      <c r="C171" s="144"/>
      <c r="D171" s="144">
        <f>'5.Closing Stock &amp; W Capital'!E17</f>
        <v>0</v>
      </c>
      <c r="E171" s="144">
        <f>'5.Closing Stock &amp; W Capital'!F17</f>
        <v>0</v>
      </c>
      <c r="F171" s="144">
        <f>'5.Closing Stock &amp; W Capital'!G17</f>
        <v>0</v>
      </c>
      <c r="G171" s="144">
        <f>'5.Closing Stock &amp; W Capital'!H17</f>
        <v>0</v>
      </c>
      <c r="H171" s="144">
        <f>'5.Closing Stock &amp; W Capital'!I17</f>
        <v>0</v>
      </c>
      <c r="I171" s="95">
        <f>'5.Closing Stock &amp; W Capital'!J17</f>
        <v>0</v>
      </c>
      <c r="J171" s="95">
        <f>'5.Closing Stock &amp; W Capital'!K17</f>
        <v>0</v>
      </c>
    </row>
    <row r="172" spans="1:10" x14ac:dyDescent="0.2">
      <c r="A172" s="144"/>
      <c r="B172" s="144"/>
      <c r="C172" s="144"/>
      <c r="D172" s="144"/>
      <c r="E172" s="144"/>
      <c r="F172" s="144"/>
      <c r="G172" s="144"/>
      <c r="H172" s="144"/>
      <c r="I172" s="95"/>
      <c r="J172" s="95"/>
    </row>
    <row r="173" spans="1:10" x14ac:dyDescent="0.2">
      <c r="A173" s="142" t="s">
        <v>312</v>
      </c>
      <c r="B173" s="144"/>
      <c r="C173" s="144"/>
      <c r="D173" s="142">
        <f>SUM(D154:D170)-D171</f>
        <v>0</v>
      </c>
      <c r="E173" s="142">
        <f t="shared" ref="E173:J173" si="27">SUM(E154:E170)-E171</f>
        <v>0</v>
      </c>
      <c r="F173" s="142">
        <f t="shared" si="27"/>
        <v>0</v>
      </c>
      <c r="G173" s="142">
        <f t="shared" si="27"/>
        <v>0</v>
      </c>
      <c r="H173" s="142">
        <f t="shared" si="27"/>
        <v>0</v>
      </c>
      <c r="I173" s="104">
        <f t="shared" si="27"/>
        <v>0</v>
      </c>
      <c r="J173" s="104">
        <f t="shared" si="27"/>
        <v>0</v>
      </c>
    </row>
    <row r="174" spans="1:10" x14ac:dyDescent="0.2">
      <c r="A174" s="93"/>
      <c r="B174" s="93"/>
      <c r="C174" s="93"/>
      <c r="D174" s="93"/>
      <c r="E174" s="93"/>
      <c r="F174" s="93"/>
      <c r="G174" s="93"/>
      <c r="H174" s="93"/>
      <c r="I174" s="93"/>
      <c r="J174" s="93"/>
    </row>
    <row r="175" spans="1:10" x14ac:dyDescent="0.2">
      <c r="A175" s="244" t="s">
        <v>305</v>
      </c>
      <c r="B175" s="244"/>
      <c r="C175" s="244"/>
      <c r="D175" s="142"/>
      <c r="E175" s="142"/>
      <c r="F175" s="142"/>
      <c r="G175" s="142"/>
      <c r="H175" s="142"/>
      <c r="I175" s="104"/>
      <c r="J175" s="104"/>
    </row>
    <row r="176" spans="1:10" x14ac:dyDescent="0.2">
      <c r="A176" s="93" t="s">
        <v>185</v>
      </c>
      <c r="B176" s="93"/>
      <c r="C176" s="144"/>
      <c r="D176" s="144">
        <f>$B$176*$C$176*D133*12</f>
        <v>0</v>
      </c>
      <c r="E176" s="144">
        <f t="shared" ref="E176:J176" si="28">$B$176*$C$176*E133*12</f>
        <v>0</v>
      </c>
      <c r="F176" s="144">
        <f t="shared" si="28"/>
        <v>0</v>
      </c>
      <c r="G176" s="144">
        <f t="shared" si="28"/>
        <v>0</v>
      </c>
      <c r="H176" s="144">
        <f t="shared" si="28"/>
        <v>0</v>
      </c>
      <c r="I176" s="144">
        <f t="shared" si="28"/>
        <v>0</v>
      </c>
      <c r="J176" s="144">
        <f t="shared" si="28"/>
        <v>0</v>
      </c>
    </row>
    <row r="177" spans="1:10" x14ac:dyDescent="0.2">
      <c r="A177" s="93" t="s">
        <v>190</v>
      </c>
      <c r="B177" s="93"/>
      <c r="C177" s="144"/>
      <c r="D177" s="144">
        <f>$B$177*$C$177*D133*12</f>
        <v>0</v>
      </c>
      <c r="E177" s="144">
        <f t="shared" ref="E177:J177" si="29">$B$177*$C$177*E133*12</f>
        <v>0</v>
      </c>
      <c r="F177" s="144">
        <f t="shared" si="29"/>
        <v>0</v>
      </c>
      <c r="G177" s="144">
        <f t="shared" si="29"/>
        <v>0</v>
      </c>
      <c r="H177" s="144">
        <f t="shared" si="29"/>
        <v>0</v>
      </c>
      <c r="I177" s="144">
        <f t="shared" si="29"/>
        <v>0</v>
      </c>
      <c r="J177" s="144">
        <f t="shared" si="29"/>
        <v>0</v>
      </c>
    </row>
    <row r="178" spans="1:10" x14ac:dyDescent="0.2">
      <c r="A178" s="93"/>
      <c r="B178" s="93"/>
      <c r="C178" s="144"/>
      <c r="D178" s="144"/>
      <c r="E178" s="144"/>
      <c r="F178" s="144"/>
      <c r="G178" s="144"/>
      <c r="H178" s="144"/>
      <c r="I178" s="144"/>
      <c r="J178" s="144"/>
    </row>
    <row r="179" spans="1:10" x14ac:dyDescent="0.2">
      <c r="A179" s="93"/>
      <c r="B179" s="93"/>
      <c r="C179" s="144"/>
      <c r="D179" s="144"/>
      <c r="E179" s="144"/>
      <c r="F179" s="144"/>
      <c r="G179" s="144"/>
      <c r="H179" s="144"/>
      <c r="I179" s="144"/>
      <c r="J179" s="144"/>
    </row>
    <row r="180" spans="1:10" x14ac:dyDescent="0.2">
      <c r="A180" s="98" t="s">
        <v>305</v>
      </c>
      <c r="B180" s="98"/>
      <c r="C180" s="98"/>
      <c r="D180" s="142">
        <f>SUM(D176:D178)</f>
        <v>0</v>
      </c>
      <c r="E180" s="142">
        <f t="shared" ref="E180:J180" si="30">SUM(E176:E178)</f>
        <v>0</v>
      </c>
      <c r="F180" s="142">
        <f t="shared" si="30"/>
        <v>0</v>
      </c>
      <c r="G180" s="142">
        <f t="shared" si="30"/>
        <v>0</v>
      </c>
      <c r="H180" s="142">
        <f t="shared" si="30"/>
        <v>0</v>
      </c>
      <c r="I180" s="142">
        <f t="shared" si="30"/>
        <v>0</v>
      </c>
      <c r="J180" s="142">
        <f t="shared" si="30"/>
        <v>0</v>
      </c>
    </row>
    <row r="181" spans="1:10" x14ac:dyDescent="0.2">
      <c r="A181" s="244" t="s">
        <v>293</v>
      </c>
      <c r="B181" s="244"/>
      <c r="C181" s="244"/>
      <c r="D181" s="142">
        <f>D173+D180</f>
        <v>0</v>
      </c>
      <c r="E181" s="142">
        <f t="shared" ref="E181:J181" si="31">E173+E180</f>
        <v>0</v>
      </c>
      <c r="F181" s="142">
        <f t="shared" si="31"/>
        <v>0</v>
      </c>
      <c r="G181" s="142">
        <f t="shared" si="31"/>
        <v>0</v>
      </c>
      <c r="H181" s="142">
        <f t="shared" si="31"/>
        <v>0</v>
      </c>
      <c r="I181" s="142">
        <f t="shared" si="31"/>
        <v>0</v>
      </c>
      <c r="J181" s="142">
        <f t="shared" si="31"/>
        <v>0</v>
      </c>
    </row>
    <row r="182" spans="1:10" x14ac:dyDescent="0.2">
      <c r="A182" s="93"/>
      <c r="B182" s="93"/>
      <c r="C182" s="93"/>
      <c r="D182" s="144"/>
      <c r="E182" s="144"/>
      <c r="F182" s="144"/>
      <c r="G182" s="144"/>
      <c r="H182" s="144"/>
      <c r="I182" s="144"/>
      <c r="J182" s="144"/>
    </row>
    <row r="183" spans="1:10" x14ac:dyDescent="0.2">
      <c r="A183" s="98" t="s">
        <v>7</v>
      </c>
      <c r="B183" s="98"/>
      <c r="C183" s="98"/>
      <c r="D183" s="142">
        <f>D150-D181</f>
        <v>0</v>
      </c>
      <c r="E183" s="142">
        <f t="shared" ref="E183:J183" si="32">E150-E181</f>
        <v>0</v>
      </c>
      <c r="F183" s="142">
        <f t="shared" si="32"/>
        <v>0</v>
      </c>
      <c r="G183" s="142">
        <f t="shared" si="32"/>
        <v>0</v>
      </c>
      <c r="H183" s="142">
        <f t="shared" si="32"/>
        <v>0</v>
      </c>
      <c r="I183" s="142">
        <f t="shared" si="32"/>
        <v>0</v>
      </c>
      <c r="J183" s="142">
        <f t="shared" si="32"/>
        <v>0</v>
      </c>
    </row>
    <row r="184" spans="1:10" x14ac:dyDescent="0.2">
      <c r="A184" s="151"/>
      <c r="B184" s="151"/>
      <c r="C184" s="151"/>
    </row>
    <row r="187" spans="1:10" x14ac:dyDescent="0.2">
      <c r="A187" s="429" t="s">
        <v>410</v>
      </c>
      <c r="B187" s="429"/>
      <c r="C187" s="429"/>
      <c r="D187" s="429"/>
      <c r="E187" s="429"/>
      <c r="F187" s="429"/>
      <c r="G187" s="429"/>
      <c r="H187" s="429"/>
      <c r="I187" s="429"/>
      <c r="J187" s="429"/>
    </row>
    <row r="189" spans="1:10" x14ac:dyDescent="0.2">
      <c r="A189" s="92" t="s">
        <v>527</v>
      </c>
    </row>
    <row r="190" spans="1:10" x14ac:dyDescent="0.2">
      <c r="A190" s="92">
        <v>1</v>
      </c>
      <c r="B190" s="92" t="s">
        <v>540</v>
      </c>
    </row>
    <row r="191" spans="1:10" x14ac:dyDescent="0.2">
      <c r="A191" s="92">
        <v>2</v>
      </c>
      <c r="B191" s="92" t="s">
        <v>541</v>
      </c>
    </row>
    <row r="192" spans="1:10" x14ac:dyDescent="0.2">
      <c r="A192" s="92">
        <v>3</v>
      </c>
      <c r="B192" s="92" t="s">
        <v>592</v>
      </c>
    </row>
    <row r="195" spans="1:2" x14ac:dyDescent="0.2">
      <c r="A195" s="92" t="s">
        <v>685</v>
      </c>
      <c r="B195" s="92" t="s">
        <v>686</v>
      </c>
    </row>
    <row r="196" spans="1:2" x14ac:dyDescent="0.2">
      <c r="B196" s="92" t="s">
        <v>700</v>
      </c>
    </row>
  </sheetData>
  <mergeCells count="4">
    <mergeCell ref="A131:J131"/>
    <mergeCell ref="A3:H3"/>
    <mergeCell ref="A187:J187"/>
    <mergeCell ref="A4:H4"/>
  </mergeCells>
  <pageMargins left="0.7" right="0.7" top="0.75" bottom="0.75" header="0.3" footer="0.3"/>
  <pageSetup paperSize="9" scale="53" orientation="portrait" r:id="rId1"/>
  <colBreaks count="1" manualBreakCount="1">
    <brk id="10" min="2" max="54"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2:J56"/>
  <sheetViews>
    <sheetView view="pageBreakPreview" zoomScale="80" zoomScaleSheetLayoutView="80" workbookViewId="0">
      <selection sqref="A1:XFD1048576"/>
    </sheetView>
  </sheetViews>
  <sheetFormatPr defaultColWidth="8.7421875" defaultRowHeight="15" x14ac:dyDescent="0.2"/>
  <cols>
    <col min="1" max="1" width="30.40234375" style="92" bestFit="1" customWidth="1"/>
    <col min="2" max="2" width="9.81640625" style="92" customWidth="1"/>
    <col min="3" max="8" width="10.4921875" style="92" bestFit="1" customWidth="1"/>
    <col min="9" max="10" width="10.625" style="92" bestFit="1" customWidth="1"/>
    <col min="11" max="16384" width="8.7421875" style="92"/>
  </cols>
  <sheetData>
    <row r="2" spans="1:10" ht="18.75" x14ac:dyDescent="0.25">
      <c r="A2" s="427" t="s">
        <v>579</v>
      </c>
      <c r="B2" s="427"/>
      <c r="C2" s="427"/>
      <c r="D2" s="427"/>
      <c r="E2" s="427"/>
      <c r="F2" s="427"/>
      <c r="G2" s="427"/>
      <c r="H2" s="427"/>
    </row>
    <row r="3" spans="1:10" ht="18.75" x14ac:dyDescent="0.25">
      <c r="A3" s="427" t="s">
        <v>580</v>
      </c>
      <c r="B3" s="427"/>
      <c r="C3" s="427"/>
      <c r="D3" s="427"/>
      <c r="E3" s="427"/>
      <c r="F3" s="427"/>
      <c r="G3" s="427"/>
      <c r="H3" s="427"/>
    </row>
    <row r="4" spans="1:10" x14ac:dyDescent="0.2">
      <c r="A4" s="92" t="s">
        <v>160</v>
      </c>
      <c r="B4" s="387"/>
      <c r="C4" s="250" t="s">
        <v>294</v>
      </c>
      <c r="D4" s="250"/>
      <c r="E4" s="250"/>
      <c r="F4" s="250"/>
    </row>
    <row r="5" spans="1:10" x14ac:dyDescent="0.2">
      <c r="B5" s="147"/>
    </row>
    <row r="6" spans="1:10" x14ac:dyDescent="0.2">
      <c r="A6" s="92" t="s">
        <v>296</v>
      </c>
      <c r="B6" s="365">
        <v>12</v>
      </c>
      <c r="D6" s="365"/>
      <c r="E6" s="365"/>
    </row>
    <row r="7" spans="1:10" x14ac:dyDescent="0.2">
      <c r="C7" s="365"/>
      <c r="D7" s="365"/>
      <c r="E7" s="365"/>
    </row>
    <row r="8" spans="1:10" x14ac:dyDescent="0.2">
      <c r="A8" s="126" t="s">
        <v>127</v>
      </c>
      <c r="B8" s="127" t="s">
        <v>2</v>
      </c>
      <c r="C8" s="127" t="s">
        <v>3</v>
      </c>
      <c r="D8" s="127" t="s">
        <v>4</v>
      </c>
      <c r="E8" s="127" t="s">
        <v>5</v>
      </c>
      <c r="F8" s="127" t="s">
        <v>6</v>
      </c>
      <c r="G8" s="127" t="s">
        <v>168</v>
      </c>
      <c r="H8" s="127" t="s">
        <v>167</v>
      </c>
    </row>
    <row r="9" spans="1:10" x14ac:dyDescent="0.2">
      <c r="A9" s="93" t="s">
        <v>297</v>
      </c>
      <c r="B9" s="260">
        <v>0.8</v>
      </c>
      <c r="C9" s="260">
        <f>B9+5%</f>
        <v>0.85000000000000009</v>
      </c>
      <c r="D9" s="260">
        <f>C9+5%</f>
        <v>0.90000000000000013</v>
      </c>
      <c r="E9" s="260">
        <f>D9+5%</f>
        <v>0.95000000000000018</v>
      </c>
      <c r="F9" s="260">
        <f>E9+5%</f>
        <v>1.0000000000000002</v>
      </c>
      <c r="G9" s="260">
        <f>F9</f>
        <v>1.0000000000000002</v>
      </c>
      <c r="H9" s="260">
        <f>G9</f>
        <v>1.0000000000000002</v>
      </c>
    </row>
    <row r="10" spans="1:10" x14ac:dyDescent="0.2">
      <c r="A10" s="98" t="s">
        <v>313</v>
      </c>
      <c r="B10" s="128">
        <f t="shared" ref="B10:H10" si="0">$B$4*B9*$B$6</f>
        <v>0</v>
      </c>
      <c r="C10" s="128">
        <f t="shared" si="0"/>
        <v>0</v>
      </c>
      <c r="D10" s="128">
        <f t="shared" si="0"/>
        <v>0</v>
      </c>
      <c r="E10" s="128">
        <f t="shared" si="0"/>
        <v>0</v>
      </c>
      <c r="F10" s="128">
        <f t="shared" si="0"/>
        <v>0</v>
      </c>
      <c r="G10" s="128">
        <f t="shared" si="0"/>
        <v>0</v>
      </c>
      <c r="H10" s="128">
        <f t="shared" si="0"/>
        <v>0</v>
      </c>
    </row>
    <row r="15" spans="1:10" ht="18.75" x14ac:dyDescent="0.25">
      <c r="A15" s="427" t="s">
        <v>581</v>
      </c>
      <c r="B15" s="427"/>
      <c r="C15" s="427"/>
      <c r="D15" s="427"/>
      <c r="E15" s="427"/>
      <c r="F15" s="427"/>
      <c r="G15" s="427"/>
      <c r="H15" s="427"/>
      <c r="I15" s="427"/>
      <c r="J15" s="427"/>
    </row>
    <row r="16" spans="1:10" x14ac:dyDescent="0.2">
      <c r="A16" s="135"/>
      <c r="B16" s="135"/>
      <c r="C16" s="135"/>
      <c r="D16" s="135"/>
      <c r="E16" s="135"/>
      <c r="F16" s="135"/>
      <c r="G16" s="135"/>
      <c r="H16" s="135"/>
    </row>
    <row r="17" spans="1:10" x14ac:dyDescent="0.2">
      <c r="D17" s="138">
        <v>1</v>
      </c>
      <c r="E17" s="150">
        <f>(D17*5%)+D17</f>
        <v>1.05</v>
      </c>
      <c r="F17" s="150">
        <f t="shared" ref="F17:J17" si="1">(E17*5%)+E17</f>
        <v>1.1025</v>
      </c>
      <c r="G17" s="150">
        <f t="shared" si="1"/>
        <v>1.1576250000000001</v>
      </c>
      <c r="H17" s="150">
        <f t="shared" si="1"/>
        <v>1.2155062500000002</v>
      </c>
      <c r="I17" s="150">
        <f t="shared" si="1"/>
        <v>1.2762815625000004</v>
      </c>
      <c r="J17" s="150">
        <f t="shared" si="1"/>
        <v>1.3400956406250004</v>
      </c>
    </row>
    <row r="18" spans="1:10" x14ac:dyDescent="0.2">
      <c r="A18" s="126" t="s">
        <v>0</v>
      </c>
      <c r="B18" s="126" t="s">
        <v>132</v>
      </c>
      <c r="C18" s="126" t="s">
        <v>152</v>
      </c>
      <c r="D18" s="127" t="s">
        <v>2</v>
      </c>
      <c r="E18" s="127" t="s">
        <v>3</v>
      </c>
      <c r="F18" s="127" t="s">
        <v>4</v>
      </c>
      <c r="G18" s="127" t="s">
        <v>5</v>
      </c>
      <c r="H18" s="127" t="s">
        <v>6</v>
      </c>
      <c r="I18" s="127" t="s">
        <v>168</v>
      </c>
      <c r="J18" s="127" t="s">
        <v>167</v>
      </c>
    </row>
    <row r="19" spans="1:10" x14ac:dyDescent="0.2">
      <c r="A19" s="93"/>
      <c r="B19" s="93"/>
      <c r="C19" s="93"/>
      <c r="D19" s="93"/>
      <c r="E19" s="93"/>
      <c r="F19" s="93"/>
      <c r="G19" s="93"/>
      <c r="H19" s="93"/>
      <c r="I19" s="93"/>
      <c r="J19" s="93"/>
    </row>
    <row r="20" spans="1:10" x14ac:dyDescent="0.2">
      <c r="A20" s="98" t="s">
        <v>176</v>
      </c>
      <c r="B20" s="98"/>
      <c r="C20" s="98"/>
      <c r="D20" s="93"/>
      <c r="E20" s="93"/>
      <c r="F20" s="93"/>
      <c r="G20" s="93"/>
      <c r="H20" s="93"/>
      <c r="I20" s="93"/>
      <c r="J20" s="93"/>
    </row>
    <row r="21" spans="1:10" x14ac:dyDescent="0.2">
      <c r="A21" s="93" t="s">
        <v>315</v>
      </c>
      <c r="B21" s="93"/>
      <c r="C21" s="388">
        <v>180</v>
      </c>
      <c r="D21" s="95">
        <f t="shared" ref="D21:J21" si="2">B10*$C$21*D17</f>
        <v>0</v>
      </c>
      <c r="E21" s="95">
        <f t="shared" si="2"/>
        <v>0</v>
      </c>
      <c r="F21" s="95">
        <f t="shared" si="2"/>
        <v>0</v>
      </c>
      <c r="G21" s="95">
        <f t="shared" si="2"/>
        <v>0</v>
      </c>
      <c r="H21" s="95">
        <f t="shared" si="2"/>
        <v>0</v>
      </c>
      <c r="I21" s="95">
        <f t="shared" si="2"/>
        <v>0</v>
      </c>
      <c r="J21" s="95">
        <f t="shared" si="2"/>
        <v>0</v>
      </c>
    </row>
    <row r="22" spans="1:10" x14ac:dyDescent="0.2">
      <c r="A22" s="93"/>
      <c r="B22" s="93"/>
      <c r="C22" s="95"/>
      <c r="D22" s="95"/>
      <c r="E22" s="95"/>
      <c r="F22" s="95"/>
      <c r="G22" s="95"/>
      <c r="H22" s="95"/>
      <c r="I22" s="95"/>
      <c r="J22" s="95"/>
    </row>
    <row r="23" spans="1:10" x14ac:dyDescent="0.2">
      <c r="A23" s="98" t="s">
        <v>143</v>
      </c>
      <c r="B23" s="98"/>
      <c r="C23" s="104"/>
      <c r="D23" s="95">
        <f>SUM(D21:D22)</f>
        <v>0</v>
      </c>
      <c r="E23" s="95">
        <f t="shared" ref="E23:J23" si="3">SUM(E21:E22)</f>
        <v>0</v>
      </c>
      <c r="F23" s="95">
        <f t="shared" si="3"/>
        <v>0</v>
      </c>
      <c r="G23" s="95">
        <f t="shared" si="3"/>
        <v>0</v>
      </c>
      <c r="H23" s="95">
        <f t="shared" si="3"/>
        <v>0</v>
      </c>
      <c r="I23" s="95">
        <f t="shared" si="3"/>
        <v>0</v>
      </c>
      <c r="J23" s="95">
        <f t="shared" si="3"/>
        <v>0</v>
      </c>
    </row>
    <row r="24" spans="1:10" x14ac:dyDescent="0.2">
      <c r="A24" s="93"/>
      <c r="B24" s="93"/>
      <c r="C24" s="95"/>
      <c r="D24" s="95"/>
      <c r="E24" s="95"/>
      <c r="F24" s="95"/>
      <c r="G24" s="95"/>
      <c r="H24" s="95"/>
      <c r="I24" s="95"/>
      <c r="J24" s="95"/>
    </row>
    <row r="25" spans="1:10" x14ac:dyDescent="0.2">
      <c r="A25" s="98" t="s">
        <v>142</v>
      </c>
      <c r="B25" s="98"/>
      <c r="C25" s="95"/>
      <c r="D25" s="95"/>
      <c r="E25" s="95"/>
      <c r="F25" s="95"/>
      <c r="G25" s="95"/>
      <c r="H25" s="95"/>
      <c r="I25" s="95"/>
      <c r="J25" s="95"/>
    </row>
    <row r="26" spans="1:10" x14ac:dyDescent="0.2">
      <c r="A26" s="98" t="s">
        <v>306</v>
      </c>
      <c r="B26" s="98"/>
      <c r="C26" s="95"/>
      <c r="D26" s="95"/>
      <c r="E26" s="95"/>
      <c r="F26" s="95"/>
      <c r="G26" s="95"/>
      <c r="H26" s="95"/>
      <c r="I26" s="95"/>
      <c r="J26" s="95"/>
    </row>
    <row r="27" spans="1:10" x14ac:dyDescent="0.2">
      <c r="A27" s="93" t="s">
        <v>298</v>
      </c>
      <c r="B27" s="239" t="s">
        <v>294</v>
      </c>
      <c r="C27" s="388"/>
      <c r="D27" s="95">
        <f t="shared" ref="D27:J27" si="4">$B$4*$C$27*D17*4</f>
        <v>0</v>
      </c>
      <c r="E27" s="95">
        <f t="shared" si="4"/>
        <v>0</v>
      </c>
      <c r="F27" s="95">
        <f t="shared" si="4"/>
        <v>0</v>
      </c>
      <c r="G27" s="95">
        <f t="shared" si="4"/>
        <v>0</v>
      </c>
      <c r="H27" s="95">
        <f t="shared" si="4"/>
        <v>0</v>
      </c>
      <c r="I27" s="95">
        <f t="shared" si="4"/>
        <v>0</v>
      </c>
      <c r="J27" s="95">
        <f t="shared" si="4"/>
        <v>0</v>
      </c>
    </row>
    <row r="28" spans="1:10" x14ac:dyDescent="0.2">
      <c r="A28" s="93" t="s">
        <v>299</v>
      </c>
      <c r="B28" s="239" t="s">
        <v>294</v>
      </c>
      <c r="C28" s="388"/>
      <c r="D28" s="95">
        <f t="shared" ref="D28:J28" si="5">$B$4*$C$28*D17*12</f>
        <v>0</v>
      </c>
      <c r="E28" s="95">
        <f t="shared" si="5"/>
        <v>0</v>
      </c>
      <c r="F28" s="95">
        <f t="shared" si="5"/>
        <v>0</v>
      </c>
      <c r="G28" s="95">
        <f t="shared" si="5"/>
        <v>0</v>
      </c>
      <c r="H28" s="95">
        <f t="shared" si="5"/>
        <v>0</v>
      </c>
      <c r="I28" s="95">
        <f t="shared" si="5"/>
        <v>0</v>
      </c>
      <c r="J28" s="95">
        <f t="shared" si="5"/>
        <v>0</v>
      </c>
    </row>
    <row r="29" spans="1:10" x14ac:dyDescent="0.2">
      <c r="A29" s="93" t="s">
        <v>300</v>
      </c>
      <c r="B29" s="239"/>
      <c r="C29" s="388"/>
      <c r="D29" s="95">
        <f>$C$29*12*D17</f>
        <v>0</v>
      </c>
      <c r="E29" s="95">
        <f t="shared" ref="E29:J29" si="6">$C$29*12*E17</f>
        <v>0</v>
      </c>
      <c r="F29" s="95">
        <f t="shared" si="6"/>
        <v>0</v>
      </c>
      <c r="G29" s="95">
        <f t="shared" si="6"/>
        <v>0</v>
      </c>
      <c r="H29" s="95">
        <f t="shared" si="6"/>
        <v>0</v>
      </c>
      <c r="I29" s="95">
        <f t="shared" si="6"/>
        <v>0</v>
      </c>
      <c r="J29" s="95">
        <f t="shared" si="6"/>
        <v>0</v>
      </c>
    </row>
    <row r="30" spans="1:10" x14ac:dyDescent="0.2">
      <c r="A30" s="93"/>
      <c r="B30" s="239"/>
      <c r="C30" s="388"/>
      <c r="D30" s="95"/>
      <c r="E30" s="95"/>
      <c r="F30" s="95"/>
      <c r="G30" s="95"/>
      <c r="H30" s="95"/>
      <c r="I30" s="95"/>
      <c r="J30" s="95"/>
    </row>
    <row r="31" spans="1:10" x14ac:dyDescent="0.2">
      <c r="A31" s="93"/>
      <c r="B31" s="239"/>
      <c r="C31" s="388"/>
      <c r="D31" s="95"/>
      <c r="E31" s="95"/>
      <c r="F31" s="95"/>
      <c r="G31" s="95"/>
      <c r="H31" s="95"/>
      <c r="I31" s="95"/>
      <c r="J31" s="95"/>
    </row>
    <row r="32" spans="1:10" x14ac:dyDescent="0.2">
      <c r="A32" s="93"/>
      <c r="B32" s="239"/>
      <c r="C32" s="388"/>
      <c r="D32" s="95"/>
      <c r="E32" s="95"/>
      <c r="F32" s="95"/>
      <c r="G32" s="95"/>
      <c r="H32" s="95"/>
      <c r="I32" s="95"/>
      <c r="J32" s="95"/>
    </row>
    <row r="33" spans="1:10" x14ac:dyDescent="0.2">
      <c r="A33" s="93"/>
      <c r="B33" s="239"/>
      <c r="C33" s="388"/>
      <c r="D33" s="95"/>
      <c r="E33" s="95"/>
      <c r="F33" s="95"/>
      <c r="G33" s="95"/>
      <c r="H33" s="95"/>
      <c r="I33" s="95"/>
      <c r="J33" s="95"/>
    </row>
    <row r="34" spans="1:10" x14ac:dyDescent="0.2">
      <c r="A34" s="98" t="s">
        <v>312</v>
      </c>
      <c r="B34" s="242"/>
      <c r="C34" s="385"/>
      <c r="D34" s="104">
        <f>SUM(D27:D33)</f>
        <v>0</v>
      </c>
      <c r="E34" s="104">
        <f t="shared" ref="E34:J34" si="7">SUM(E27:E33)</f>
        <v>0</v>
      </c>
      <c r="F34" s="104">
        <f t="shared" si="7"/>
        <v>0</v>
      </c>
      <c r="G34" s="104">
        <f t="shared" si="7"/>
        <v>0</v>
      </c>
      <c r="H34" s="104">
        <f t="shared" si="7"/>
        <v>0</v>
      </c>
      <c r="I34" s="104">
        <f t="shared" si="7"/>
        <v>0</v>
      </c>
      <c r="J34" s="104">
        <f t="shared" si="7"/>
        <v>0</v>
      </c>
    </row>
    <row r="35" spans="1:10" x14ac:dyDescent="0.2">
      <c r="A35" s="98"/>
      <c r="B35" s="242"/>
      <c r="C35" s="385"/>
      <c r="D35" s="104"/>
      <c r="E35" s="104"/>
      <c r="F35" s="104"/>
      <c r="G35" s="104"/>
      <c r="H35" s="104"/>
      <c r="I35" s="104"/>
      <c r="J35" s="104"/>
    </row>
    <row r="36" spans="1:10" x14ac:dyDescent="0.2">
      <c r="A36" s="98" t="s">
        <v>305</v>
      </c>
      <c r="B36" s="239"/>
      <c r="C36" s="388"/>
      <c r="D36" s="95"/>
      <c r="E36" s="95"/>
      <c r="F36" s="95"/>
      <c r="G36" s="95"/>
      <c r="H36" s="95"/>
      <c r="I36" s="95"/>
      <c r="J36" s="95"/>
    </row>
    <row r="37" spans="1:10" x14ac:dyDescent="0.2">
      <c r="A37" s="93" t="s">
        <v>314</v>
      </c>
      <c r="B37" s="239">
        <v>1</v>
      </c>
      <c r="C37" s="388"/>
      <c r="D37" s="95">
        <f>$B$37*$C$37*D17*12</f>
        <v>0</v>
      </c>
      <c r="E37" s="95">
        <f t="shared" ref="E37:J37" si="8">$B$37*$C$37*E17*12</f>
        <v>0</v>
      </c>
      <c r="F37" s="95">
        <f t="shared" si="8"/>
        <v>0</v>
      </c>
      <c r="G37" s="95">
        <f t="shared" si="8"/>
        <v>0</v>
      </c>
      <c r="H37" s="95">
        <f t="shared" si="8"/>
        <v>0</v>
      </c>
      <c r="I37" s="95">
        <f t="shared" si="8"/>
        <v>0</v>
      </c>
      <c r="J37" s="95">
        <f t="shared" si="8"/>
        <v>0</v>
      </c>
    </row>
    <row r="38" spans="1:10" x14ac:dyDescent="0.2">
      <c r="A38" s="93"/>
      <c r="B38" s="239"/>
      <c r="C38" s="388"/>
      <c r="D38" s="95"/>
      <c r="E38" s="95"/>
      <c r="F38" s="95"/>
      <c r="G38" s="95"/>
      <c r="H38" s="95"/>
      <c r="I38" s="95"/>
      <c r="J38" s="95"/>
    </row>
    <row r="39" spans="1:10" x14ac:dyDescent="0.2">
      <c r="A39" s="93"/>
      <c r="B39" s="239"/>
      <c r="C39" s="388"/>
      <c r="D39" s="95"/>
      <c r="E39" s="95"/>
      <c r="F39" s="95"/>
      <c r="G39" s="95"/>
      <c r="H39" s="95"/>
      <c r="I39" s="95"/>
      <c r="J39" s="95"/>
    </row>
    <row r="40" spans="1:10" x14ac:dyDescent="0.2">
      <c r="A40" s="93"/>
      <c r="B40" s="239"/>
      <c r="C40" s="388"/>
      <c r="D40" s="95"/>
      <c r="E40" s="95"/>
      <c r="F40" s="95"/>
      <c r="G40" s="95"/>
      <c r="H40" s="95"/>
      <c r="I40" s="95"/>
      <c r="J40" s="95"/>
    </row>
    <row r="41" spans="1:10" x14ac:dyDescent="0.2">
      <c r="A41" s="93"/>
      <c r="B41" s="239"/>
      <c r="C41" s="388"/>
      <c r="D41" s="95"/>
      <c r="E41" s="95"/>
      <c r="F41" s="95"/>
      <c r="G41" s="95"/>
      <c r="H41" s="95"/>
      <c r="I41" s="95"/>
      <c r="J41" s="95"/>
    </row>
    <row r="42" spans="1:10" x14ac:dyDescent="0.2">
      <c r="A42" s="93"/>
      <c r="B42" s="239"/>
      <c r="C42" s="388"/>
      <c r="D42" s="95"/>
      <c r="E42" s="95"/>
      <c r="F42" s="95"/>
      <c r="G42" s="95"/>
      <c r="H42" s="95"/>
      <c r="I42" s="95"/>
      <c r="J42" s="95"/>
    </row>
    <row r="43" spans="1:10" x14ac:dyDescent="0.2">
      <c r="A43" s="98" t="s">
        <v>316</v>
      </c>
      <c r="B43" s="98"/>
      <c r="C43" s="104"/>
      <c r="D43" s="104">
        <f>SUM(D37:D42)</f>
        <v>0</v>
      </c>
      <c r="E43" s="104">
        <f t="shared" ref="E43:J43" si="9">SUM(E37:E42)</f>
        <v>0</v>
      </c>
      <c r="F43" s="104">
        <f t="shared" si="9"/>
        <v>0</v>
      </c>
      <c r="G43" s="104">
        <f t="shared" si="9"/>
        <v>0</v>
      </c>
      <c r="H43" s="104">
        <f t="shared" si="9"/>
        <v>0</v>
      </c>
      <c r="I43" s="104">
        <f t="shared" si="9"/>
        <v>0</v>
      </c>
      <c r="J43" s="104">
        <f t="shared" si="9"/>
        <v>0</v>
      </c>
    </row>
    <row r="44" spans="1:10" x14ac:dyDescent="0.2">
      <c r="A44" s="98"/>
      <c r="B44" s="98"/>
      <c r="C44" s="104"/>
      <c r="D44" s="104"/>
      <c r="E44" s="104"/>
      <c r="F44" s="104"/>
      <c r="G44" s="104"/>
      <c r="H44" s="104"/>
      <c r="I44" s="104"/>
      <c r="J44" s="104"/>
    </row>
    <row r="45" spans="1:10" x14ac:dyDescent="0.2">
      <c r="A45" s="98" t="s">
        <v>129</v>
      </c>
      <c r="B45" s="98"/>
      <c r="C45" s="104"/>
      <c r="D45" s="104">
        <f>D34+D43</f>
        <v>0</v>
      </c>
      <c r="E45" s="104">
        <f t="shared" ref="E45:J45" si="10">E34+E43</f>
        <v>0</v>
      </c>
      <c r="F45" s="104">
        <f t="shared" si="10"/>
        <v>0</v>
      </c>
      <c r="G45" s="104">
        <f t="shared" si="10"/>
        <v>0</v>
      </c>
      <c r="H45" s="104">
        <f t="shared" si="10"/>
        <v>0</v>
      </c>
      <c r="I45" s="104">
        <f t="shared" si="10"/>
        <v>0</v>
      </c>
      <c r="J45" s="104">
        <f t="shared" si="10"/>
        <v>0</v>
      </c>
    </row>
    <row r="46" spans="1:10" x14ac:dyDescent="0.2">
      <c r="A46" s="93"/>
      <c r="B46" s="93"/>
      <c r="C46" s="95"/>
      <c r="D46" s="95"/>
      <c r="E46" s="95"/>
      <c r="F46" s="95"/>
      <c r="G46" s="95"/>
      <c r="H46" s="95"/>
      <c r="I46" s="95"/>
      <c r="J46" s="95"/>
    </row>
    <row r="47" spans="1:10" x14ac:dyDescent="0.2">
      <c r="A47" s="98" t="s">
        <v>128</v>
      </c>
      <c r="B47" s="98"/>
      <c r="C47" s="104"/>
      <c r="D47" s="104">
        <f t="shared" ref="D47:J47" si="11">D23-D45</f>
        <v>0</v>
      </c>
      <c r="E47" s="104">
        <f t="shared" si="11"/>
        <v>0</v>
      </c>
      <c r="F47" s="104">
        <f t="shared" si="11"/>
        <v>0</v>
      </c>
      <c r="G47" s="104">
        <f t="shared" si="11"/>
        <v>0</v>
      </c>
      <c r="H47" s="104">
        <f t="shared" si="11"/>
        <v>0</v>
      </c>
      <c r="I47" s="104">
        <f t="shared" si="11"/>
        <v>0</v>
      </c>
      <c r="J47" s="104">
        <f t="shared" si="11"/>
        <v>0</v>
      </c>
    </row>
    <row r="51" spans="1:10" x14ac:dyDescent="0.2">
      <c r="A51" s="429" t="s">
        <v>410</v>
      </c>
      <c r="B51" s="429"/>
      <c r="C51" s="429"/>
      <c r="D51" s="429"/>
      <c r="E51" s="429"/>
      <c r="F51" s="429"/>
      <c r="G51" s="429"/>
      <c r="H51" s="429"/>
      <c r="I51" s="429"/>
      <c r="J51" s="429"/>
    </row>
    <row r="53" spans="1:10" x14ac:dyDescent="0.2">
      <c r="A53" s="92" t="s">
        <v>527</v>
      </c>
    </row>
    <row r="54" spans="1:10" x14ac:dyDescent="0.2">
      <c r="A54" s="92">
        <v>1</v>
      </c>
      <c r="B54" s="92" t="s">
        <v>540</v>
      </c>
    </row>
    <row r="55" spans="1:10" x14ac:dyDescent="0.2">
      <c r="A55" s="92">
        <v>2</v>
      </c>
      <c r="B55" s="92" t="s">
        <v>541</v>
      </c>
    </row>
    <row r="56" spans="1:10" x14ac:dyDescent="0.2">
      <c r="A56" s="92">
        <v>3</v>
      </c>
      <c r="B56" s="92" t="s">
        <v>592</v>
      </c>
    </row>
  </sheetData>
  <mergeCells count="4">
    <mergeCell ref="A15:J15"/>
    <mergeCell ref="A2:H2"/>
    <mergeCell ref="A51:J51"/>
    <mergeCell ref="A3:H3"/>
  </mergeCells>
  <pageMargins left="0.7" right="0.7" top="0.75" bottom="0.75" header="0.3" footer="0.3"/>
  <pageSetup paperSize="9" scale="43" orientation="portrait" r:id="rId1"/>
  <colBreaks count="1" manualBreakCount="1">
    <brk id="10"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3:M64"/>
  <sheetViews>
    <sheetView view="pageBreakPreview" topLeftCell="A30" zoomScale="80" zoomScaleSheetLayoutView="80" workbookViewId="0">
      <selection activeCell="A30" sqref="A1:XFD1048576"/>
    </sheetView>
  </sheetViews>
  <sheetFormatPr defaultColWidth="8.7421875" defaultRowHeight="15" x14ac:dyDescent="0.2"/>
  <cols>
    <col min="1" max="2" width="29.45703125" style="92" customWidth="1"/>
    <col min="3" max="3" width="12.23828125" style="92" customWidth="1"/>
    <col min="4" max="4" width="10.4921875" style="92" bestFit="1" customWidth="1"/>
    <col min="5" max="5" width="13.44921875" style="92" customWidth="1"/>
    <col min="6" max="6" width="13.98828125" style="92" customWidth="1"/>
    <col min="7" max="7" width="13.44921875" style="92" customWidth="1"/>
    <col min="8" max="9" width="13.98828125" style="92" customWidth="1"/>
    <col min="10" max="11" width="14.390625" style="92" customWidth="1"/>
    <col min="12" max="12" width="12.23828125" style="92" customWidth="1"/>
    <col min="13" max="13" width="16.0078125" style="92" customWidth="1"/>
    <col min="14" max="14" width="23.26953125" style="92" customWidth="1"/>
    <col min="15" max="17" width="8.7421875" style="92"/>
    <col min="18" max="18" width="12.77734375" style="92" bestFit="1" customWidth="1"/>
    <col min="19" max="16384" width="8.7421875" style="92"/>
  </cols>
  <sheetData>
    <row r="3" spans="1:13" ht="18.75" x14ac:dyDescent="0.25">
      <c r="A3" s="427" t="s">
        <v>582</v>
      </c>
      <c r="B3" s="427"/>
      <c r="C3" s="427"/>
      <c r="D3" s="427"/>
      <c r="E3" s="427"/>
      <c r="F3" s="427"/>
      <c r="G3" s="427"/>
      <c r="H3" s="427"/>
      <c r="I3" s="427"/>
      <c r="J3" s="427"/>
      <c r="K3" s="427"/>
      <c r="L3" s="427"/>
    </row>
    <row r="4" spans="1:13" ht="18.75" x14ac:dyDescent="0.25">
      <c r="A4" s="427" t="s">
        <v>583</v>
      </c>
      <c r="B4" s="427"/>
      <c r="C4" s="427"/>
      <c r="D4" s="427"/>
      <c r="E4" s="427"/>
      <c r="F4" s="427"/>
      <c r="G4" s="427"/>
      <c r="H4" s="427"/>
      <c r="I4" s="427"/>
      <c r="J4" s="427"/>
      <c r="K4" s="427"/>
      <c r="L4" s="427"/>
    </row>
    <row r="7" spans="1:13" ht="38.25" x14ac:dyDescent="0.2">
      <c r="A7" s="123" t="s">
        <v>145</v>
      </c>
      <c r="B7" s="368" t="s">
        <v>418</v>
      </c>
      <c r="C7" s="368" t="s">
        <v>424</v>
      </c>
      <c r="D7" s="368" t="s">
        <v>422</v>
      </c>
      <c r="E7" s="368" t="s">
        <v>423</v>
      </c>
      <c r="F7" s="368" t="s">
        <v>301</v>
      </c>
      <c r="G7" s="368" t="s">
        <v>425</v>
      </c>
      <c r="H7" s="368" t="s">
        <v>426</v>
      </c>
      <c r="I7" s="368" t="s">
        <v>427</v>
      </c>
      <c r="J7" s="389" t="s">
        <v>430</v>
      </c>
      <c r="K7" s="368" t="s">
        <v>428</v>
      </c>
      <c r="L7" s="389" t="s">
        <v>429</v>
      </c>
      <c r="M7" s="368" t="s">
        <v>432</v>
      </c>
    </row>
    <row r="8" spans="1:13" x14ac:dyDescent="0.2">
      <c r="A8" s="390">
        <v>1</v>
      </c>
      <c r="B8" s="239" t="s">
        <v>713</v>
      </c>
      <c r="C8" s="239">
        <v>1</v>
      </c>
      <c r="D8" s="239"/>
      <c r="E8" s="239">
        <v>8</v>
      </c>
      <c r="F8" s="93">
        <f>D8*E8*C8</f>
        <v>0</v>
      </c>
      <c r="G8" s="239">
        <v>4</v>
      </c>
      <c r="H8" s="93">
        <f>F8/G8</f>
        <v>0</v>
      </c>
      <c r="I8" s="239">
        <v>12</v>
      </c>
      <c r="J8" s="93">
        <f>H8*I8</f>
        <v>0</v>
      </c>
      <c r="K8" s="239">
        <v>3000</v>
      </c>
      <c r="L8" s="239">
        <v>1</v>
      </c>
      <c r="M8" s="93">
        <f t="shared" ref="M8:M16" si="0">D8*L8</f>
        <v>0</v>
      </c>
    </row>
    <row r="9" spans="1:13" x14ac:dyDescent="0.2">
      <c r="A9" s="390">
        <v>2</v>
      </c>
      <c r="B9" s="239" t="s">
        <v>419</v>
      </c>
      <c r="C9" s="239">
        <v>1</v>
      </c>
      <c r="D9" s="239"/>
      <c r="E9" s="239">
        <v>8</v>
      </c>
      <c r="F9" s="93">
        <f t="shared" ref="F9:F16" si="1">D9*E9*C9</f>
        <v>0</v>
      </c>
      <c r="G9" s="239">
        <v>2</v>
      </c>
      <c r="H9" s="93">
        <f>F9/G9</f>
        <v>0</v>
      </c>
      <c r="I9" s="239">
        <v>8</v>
      </c>
      <c r="J9" s="93">
        <f t="shared" ref="J9:J16" si="2">H9*I9</f>
        <v>0</v>
      </c>
      <c r="K9" s="239">
        <v>1800</v>
      </c>
      <c r="L9" s="239">
        <v>1</v>
      </c>
      <c r="M9" s="93">
        <f t="shared" si="0"/>
        <v>0</v>
      </c>
    </row>
    <row r="10" spans="1:13" x14ac:dyDescent="0.2">
      <c r="A10" s="390">
        <v>3</v>
      </c>
      <c r="B10" s="239" t="s">
        <v>420</v>
      </c>
      <c r="C10" s="239">
        <v>1</v>
      </c>
      <c r="D10" s="239"/>
      <c r="E10" s="239">
        <v>8</v>
      </c>
      <c r="F10" s="93">
        <f t="shared" si="1"/>
        <v>0</v>
      </c>
      <c r="G10" s="239">
        <v>2</v>
      </c>
      <c r="H10" s="93">
        <f>F10/G10</f>
        <v>0</v>
      </c>
      <c r="I10" s="239">
        <v>8</v>
      </c>
      <c r="J10" s="93">
        <f t="shared" si="2"/>
        <v>0</v>
      </c>
      <c r="K10" s="239">
        <v>1800</v>
      </c>
      <c r="L10" s="239">
        <v>1</v>
      </c>
      <c r="M10" s="93">
        <f t="shared" si="0"/>
        <v>0</v>
      </c>
    </row>
    <row r="11" spans="1:13" x14ac:dyDescent="0.2">
      <c r="A11" s="390">
        <v>5</v>
      </c>
      <c r="B11" s="239" t="s">
        <v>421</v>
      </c>
      <c r="C11" s="239">
        <v>1</v>
      </c>
      <c r="D11" s="239"/>
      <c r="E11" s="239">
        <v>8</v>
      </c>
      <c r="F11" s="93">
        <f t="shared" si="1"/>
        <v>0</v>
      </c>
      <c r="G11" s="239">
        <v>2</v>
      </c>
      <c r="H11" s="93">
        <f>F11/G11</f>
        <v>0</v>
      </c>
      <c r="I11" s="239">
        <v>10</v>
      </c>
      <c r="J11" s="93">
        <f t="shared" si="2"/>
        <v>0</v>
      </c>
      <c r="K11" s="239">
        <v>1500</v>
      </c>
      <c r="L11" s="239">
        <v>1</v>
      </c>
      <c r="M11" s="93">
        <f t="shared" si="0"/>
        <v>0</v>
      </c>
    </row>
    <row r="12" spans="1:13" x14ac:dyDescent="0.2">
      <c r="A12" s="390">
        <v>6</v>
      </c>
      <c r="B12" s="93">
        <f>'2.Capex Details'!C32</f>
        <v>0</v>
      </c>
      <c r="C12" s="239">
        <v>1</v>
      </c>
      <c r="D12" s="239"/>
      <c r="E12" s="239">
        <v>8</v>
      </c>
      <c r="F12" s="93">
        <f t="shared" si="1"/>
        <v>0</v>
      </c>
      <c r="G12" s="239">
        <v>2</v>
      </c>
      <c r="H12" s="93">
        <f t="shared" ref="H12:H16" si="3">F12/G12</f>
        <v>0</v>
      </c>
      <c r="I12" s="239">
        <v>7</v>
      </c>
      <c r="J12" s="93">
        <f t="shared" si="2"/>
        <v>0</v>
      </c>
      <c r="K12" s="239">
        <v>800</v>
      </c>
      <c r="L12" s="239">
        <v>1</v>
      </c>
      <c r="M12" s="93">
        <f t="shared" si="0"/>
        <v>0</v>
      </c>
    </row>
    <row r="13" spans="1:13" x14ac:dyDescent="0.2">
      <c r="A13" s="390">
        <v>7</v>
      </c>
      <c r="B13" s="93" t="e">
        <f>Sheet1!#REF!</f>
        <v>#REF!</v>
      </c>
      <c r="C13" s="239">
        <v>1</v>
      </c>
      <c r="D13" s="239"/>
      <c r="E13" s="239">
        <v>8</v>
      </c>
      <c r="F13" s="93">
        <f t="shared" si="1"/>
        <v>0</v>
      </c>
      <c r="G13" s="239">
        <v>3</v>
      </c>
      <c r="H13" s="93">
        <f t="shared" si="3"/>
        <v>0</v>
      </c>
      <c r="I13" s="239">
        <v>10</v>
      </c>
      <c r="J13" s="93">
        <f t="shared" si="2"/>
        <v>0</v>
      </c>
      <c r="K13" s="239">
        <v>1000</v>
      </c>
      <c r="L13" s="239">
        <v>1</v>
      </c>
      <c r="M13" s="93">
        <f t="shared" si="0"/>
        <v>0</v>
      </c>
    </row>
    <row r="14" spans="1:13" x14ac:dyDescent="0.2">
      <c r="A14" s="390">
        <v>8</v>
      </c>
      <c r="B14" s="93">
        <f>'2.Capex Details'!C33</f>
        <v>0</v>
      </c>
      <c r="C14" s="239">
        <v>1</v>
      </c>
      <c r="D14" s="239"/>
      <c r="E14" s="239">
        <v>8</v>
      </c>
      <c r="F14" s="93">
        <f t="shared" si="1"/>
        <v>0</v>
      </c>
      <c r="G14" s="239">
        <v>3</v>
      </c>
      <c r="H14" s="93">
        <f t="shared" si="3"/>
        <v>0</v>
      </c>
      <c r="I14" s="239">
        <v>10</v>
      </c>
      <c r="J14" s="93">
        <f t="shared" si="2"/>
        <v>0</v>
      </c>
      <c r="K14" s="239">
        <v>1200</v>
      </c>
      <c r="L14" s="239">
        <v>1</v>
      </c>
      <c r="M14" s="93">
        <f t="shared" si="0"/>
        <v>0</v>
      </c>
    </row>
    <row r="15" spans="1:13" x14ac:dyDescent="0.2">
      <c r="A15" s="390">
        <v>9</v>
      </c>
      <c r="B15" s="93">
        <f>'2.Capex Details'!C36</f>
        <v>0</v>
      </c>
      <c r="C15" s="239">
        <v>1</v>
      </c>
      <c r="D15" s="239"/>
      <c r="E15" s="239">
        <v>8</v>
      </c>
      <c r="F15" s="93">
        <f t="shared" si="1"/>
        <v>0</v>
      </c>
      <c r="G15" s="239">
        <v>3</v>
      </c>
      <c r="H15" s="93">
        <f t="shared" si="3"/>
        <v>0</v>
      </c>
      <c r="I15" s="239">
        <v>8</v>
      </c>
      <c r="J15" s="93">
        <f t="shared" si="2"/>
        <v>0</v>
      </c>
      <c r="K15" s="239">
        <v>1000</v>
      </c>
      <c r="L15" s="239">
        <v>1</v>
      </c>
      <c r="M15" s="93">
        <f t="shared" si="0"/>
        <v>0</v>
      </c>
    </row>
    <row r="16" spans="1:13" x14ac:dyDescent="0.2">
      <c r="A16" s="390">
        <v>10</v>
      </c>
      <c r="B16" s="93">
        <f>'2.Capex Details'!C28</f>
        <v>0</v>
      </c>
      <c r="C16" s="239">
        <v>1</v>
      </c>
      <c r="D16" s="239"/>
      <c r="E16" s="239">
        <v>8</v>
      </c>
      <c r="F16" s="93">
        <f t="shared" si="1"/>
        <v>0</v>
      </c>
      <c r="G16" s="239">
        <v>4</v>
      </c>
      <c r="H16" s="93">
        <f t="shared" si="3"/>
        <v>0</v>
      </c>
      <c r="I16" s="239">
        <v>6</v>
      </c>
      <c r="J16" s="93">
        <f t="shared" si="2"/>
        <v>0</v>
      </c>
      <c r="K16" s="239">
        <v>800</v>
      </c>
      <c r="L16" s="239">
        <v>1</v>
      </c>
      <c r="M16" s="93">
        <f t="shared" si="0"/>
        <v>0</v>
      </c>
    </row>
    <row r="17" spans="1:11" x14ac:dyDescent="0.2">
      <c r="A17" s="134"/>
      <c r="B17" s="134"/>
    </row>
    <row r="18" spans="1:11" x14ac:dyDescent="0.2">
      <c r="A18" s="134"/>
      <c r="B18" s="134"/>
    </row>
    <row r="20" spans="1:11" ht="18.75" x14ac:dyDescent="0.25">
      <c r="A20" s="427" t="s">
        <v>584</v>
      </c>
      <c r="B20" s="427"/>
      <c r="C20" s="427"/>
      <c r="D20" s="427"/>
      <c r="E20" s="427"/>
      <c r="F20" s="427"/>
      <c r="G20" s="427"/>
      <c r="H20" s="427"/>
      <c r="I20" s="427"/>
      <c r="J20" s="427"/>
      <c r="K20" s="427"/>
    </row>
    <row r="22" spans="1:11" x14ac:dyDescent="0.2">
      <c r="E22" s="138">
        <v>1</v>
      </c>
      <c r="F22" s="150">
        <f>(E22*5%)+E22</f>
        <v>1.05</v>
      </c>
      <c r="G22" s="150">
        <f t="shared" ref="G22:K22" si="4">(F22*5%)+F22</f>
        <v>1.1025</v>
      </c>
      <c r="H22" s="150">
        <f t="shared" si="4"/>
        <v>1.1576250000000001</v>
      </c>
      <c r="I22" s="150">
        <f t="shared" si="4"/>
        <v>1.2155062500000002</v>
      </c>
      <c r="J22" s="150">
        <f t="shared" si="4"/>
        <v>1.2762815625000004</v>
      </c>
      <c r="K22" s="150">
        <f t="shared" si="4"/>
        <v>1.3400956406250004</v>
      </c>
    </row>
    <row r="23" spans="1:11" x14ac:dyDescent="0.2">
      <c r="A23" s="126" t="s">
        <v>0</v>
      </c>
      <c r="B23" s="126" t="s">
        <v>132</v>
      </c>
      <c r="C23" s="126" t="s">
        <v>146</v>
      </c>
      <c r="D23" s="126" t="s">
        <v>152</v>
      </c>
      <c r="E23" s="127" t="s">
        <v>2</v>
      </c>
      <c r="F23" s="127" t="s">
        <v>3</v>
      </c>
      <c r="G23" s="127" t="s">
        <v>4</v>
      </c>
      <c r="H23" s="127" t="s">
        <v>5</v>
      </c>
      <c r="I23" s="127" t="s">
        <v>6</v>
      </c>
      <c r="J23" s="127" t="s">
        <v>168</v>
      </c>
      <c r="K23" s="127" t="s">
        <v>167</v>
      </c>
    </row>
    <row r="24" spans="1:11" x14ac:dyDescent="0.2">
      <c r="A24" s="98"/>
      <c r="B24" s="98"/>
      <c r="C24" s="98"/>
      <c r="D24" s="98"/>
      <c r="E24" s="93"/>
      <c r="F24" s="93"/>
      <c r="G24" s="93"/>
      <c r="H24" s="93"/>
      <c r="I24" s="93"/>
      <c r="J24" s="93"/>
      <c r="K24" s="93"/>
    </row>
    <row r="25" spans="1:11" x14ac:dyDescent="0.2">
      <c r="A25" s="98" t="s">
        <v>126</v>
      </c>
      <c r="B25" s="98"/>
      <c r="C25" s="98"/>
      <c r="D25" s="98"/>
      <c r="E25" s="93"/>
      <c r="F25" s="93"/>
      <c r="G25" s="93"/>
      <c r="H25" s="93"/>
      <c r="I25" s="93"/>
      <c r="J25" s="93"/>
      <c r="K25" s="93"/>
    </row>
    <row r="26" spans="1:11" x14ac:dyDescent="0.2">
      <c r="A26" s="244" t="s">
        <v>434</v>
      </c>
      <c r="B26" s="245"/>
      <c r="C26" s="245"/>
      <c r="D26" s="245"/>
      <c r="E26" s="95"/>
      <c r="F26" s="95"/>
      <c r="G26" s="95"/>
      <c r="H26" s="95"/>
      <c r="I26" s="95"/>
      <c r="J26" s="95"/>
      <c r="K26" s="95"/>
    </row>
    <row r="27" spans="1:11" x14ac:dyDescent="0.2">
      <c r="A27" s="245" t="str">
        <f>B8</f>
        <v>Combine Harvestor</v>
      </c>
      <c r="B27" s="245" t="s">
        <v>688</v>
      </c>
      <c r="C27" s="245">
        <f t="shared" ref="C27:C36" si="5">H8</f>
        <v>0</v>
      </c>
      <c r="D27" s="245">
        <f t="shared" ref="D27:D36" si="6">K8</f>
        <v>3000</v>
      </c>
      <c r="E27" s="95">
        <f>$C$27*$D$27*E22</f>
        <v>0</v>
      </c>
      <c r="F27" s="95">
        <f t="shared" ref="F27:K27" si="7">$C$27*$D$27*F22</f>
        <v>0</v>
      </c>
      <c r="G27" s="95">
        <f t="shared" si="7"/>
        <v>0</v>
      </c>
      <c r="H27" s="95">
        <f t="shared" si="7"/>
        <v>0</v>
      </c>
      <c r="I27" s="95">
        <f t="shared" si="7"/>
        <v>0</v>
      </c>
      <c r="J27" s="95">
        <f t="shared" si="7"/>
        <v>0</v>
      </c>
      <c r="K27" s="95">
        <f t="shared" si="7"/>
        <v>0</v>
      </c>
    </row>
    <row r="28" spans="1:11" x14ac:dyDescent="0.2">
      <c r="A28" s="245" t="str">
        <f>B9</f>
        <v>Cultivator</v>
      </c>
      <c r="B28" s="245" t="s">
        <v>688</v>
      </c>
      <c r="C28" s="245">
        <f t="shared" si="5"/>
        <v>0</v>
      </c>
      <c r="D28" s="245">
        <f t="shared" si="6"/>
        <v>1800</v>
      </c>
      <c r="E28" s="95">
        <f>$C$28*$D$28*E22</f>
        <v>0</v>
      </c>
      <c r="F28" s="95">
        <f t="shared" ref="F28:K28" si="8">$C$28*$D$28*F22</f>
        <v>0</v>
      </c>
      <c r="G28" s="95">
        <f t="shared" si="8"/>
        <v>0</v>
      </c>
      <c r="H28" s="95">
        <f t="shared" si="8"/>
        <v>0</v>
      </c>
      <c r="I28" s="95">
        <f t="shared" si="8"/>
        <v>0</v>
      </c>
      <c r="J28" s="95">
        <f t="shared" si="8"/>
        <v>0</v>
      </c>
      <c r="K28" s="95">
        <f t="shared" si="8"/>
        <v>0</v>
      </c>
    </row>
    <row r="29" spans="1:11" x14ac:dyDescent="0.2">
      <c r="A29" s="245" t="str">
        <f>B10</f>
        <v>Rotavator</v>
      </c>
      <c r="B29" s="245" t="s">
        <v>688</v>
      </c>
      <c r="C29" s="245">
        <f t="shared" si="5"/>
        <v>0</v>
      </c>
      <c r="D29" s="245">
        <f t="shared" si="6"/>
        <v>1800</v>
      </c>
      <c r="E29" s="95">
        <f>$C$29*$D$29*E22</f>
        <v>0</v>
      </c>
      <c r="F29" s="95">
        <f t="shared" ref="F29:K29" si="9">$C$29*$D$29*F22</f>
        <v>0</v>
      </c>
      <c r="G29" s="95">
        <f t="shared" si="9"/>
        <v>0</v>
      </c>
      <c r="H29" s="95">
        <f t="shared" si="9"/>
        <v>0</v>
      </c>
      <c r="I29" s="95">
        <f t="shared" si="9"/>
        <v>0</v>
      </c>
      <c r="J29" s="95">
        <f t="shared" si="9"/>
        <v>0</v>
      </c>
      <c r="K29" s="95">
        <f t="shared" si="9"/>
        <v>0</v>
      </c>
    </row>
    <row r="30" spans="1:11" x14ac:dyDescent="0.2">
      <c r="A30" s="245" t="str">
        <f>B11</f>
        <v>Mobile Threshing</v>
      </c>
      <c r="B30" s="245" t="s">
        <v>688</v>
      </c>
      <c r="C30" s="245">
        <f t="shared" si="5"/>
        <v>0</v>
      </c>
      <c r="D30" s="245">
        <f t="shared" si="6"/>
        <v>1500</v>
      </c>
      <c r="E30" s="95">
        <f t="shared" ref="E30:K30" si="10">$C$30*$D$30*E22</f>
        <v>0</v>
      </c>
      <c r="F30" s="95">
        <f t="shared" si="10"/>
        <v>0</v>
      </c>
      <c r="G30" s="95">
        <f t="shared" si="10"/>
        <v>0</v>
      </c>
      <c r="H30" s="95">
        <f t="shared" si="10"/>
        <v>0</v>
      </c>
      <c r="I30" s="95">
        <f t="shared" si="10"/>
        <v>0</v>
      </c>
      <c r="J30" s="95">
        <f t="shared" si="10"/>
        <v>0</v>
      </c>
      <c r="K30" s="95">
        <f t="shared" si="10"/>
        <v>0</v>
      </c>
    </row>
    <row r="31" spans="1:11" x14ac:dyDescent="0.2">
      <c r="A31" s="245">
        <f t="shared" ref="A31:A36" si="11">B12</f>
        <v>0</v>
      </c>
      <c r="B31" s="245" t="s">
        <v>688</v>
      </c>
      <c r="C31" s="245">
        <f t="shared" si="5"/>
        <v>0</v>
      </c>
      <c r="D31" s="245">
        <f t="shared" si="6"/>
        <v>800</v>
      </c>
      <c r="E31" s="95">
        <f t="shared" ref="E31:K31" si="12">$C$31*$D$31*E22</f>
        <v>0</v>
      </c>
      <c r="F31" s="95">
        <f t="shared" si="12"/>
        <v>0</v>
      </c>
      <c r="G31" s="95">
        <f t="shared" si="12"/>
        <v>0</v>
      </c>
      <c r="H31" s="95">
        <f t="shared" si="12"/>
        <v>0</v>
      </c>
      <c r="I31" s="95">
        <f t="shared" si="12"/>
        <v>0</v>
      </c>
      <c r="J31" s="95">
        <f t="shared" si="12"/>
        <v>0</v>
      </c>
      <c r="K31" s="95">
        <f t="shared" si="12"/>
        <v>0</v>
      </c>
    </row>
    <row r="32" spans="1:11" x14ac:dyDescent="0.2">
      <c r="A32" s="245" t="e">
        <f t="shared" si="11"/>
        <v>#REF!</v>
      </c>
      <c r="B32" s="245" t="s">
        <v>688</v>
      </c>
      <c r="C32" s="245">
        <f t="shared" si="5"/>
        <v>0</v>
      </c>
      <c r="D32" s="245">
        <f t="shared" si="6"/>
        <v>1000</v>
      </c>
      <c r="E32" s="95">
        <f t="shared" ref="E32:K32" si="13">$C$32*$D$32*E22</f>
        <v>0</v>
      </c>
      <c r="F32" s="95">
        <f t="shared" si="13"/>
        <v>0</v>
      </c>
      <c r="G32" s="95">
        <f t="shared" si="13"/>
        <v>0</v>
      </c>
      <c r="H32" s="95">
        <f t="shared" si="13"/>
        <v>0</v>
      </c>
      <c r="I32" s="95">
        <f t="shared" si="13"/>
        <v>0</v>
      </c>
      <c r="J32" s="95">
        <f t="shared" si="13"/>
        <v>0</v>
      </c>
      <c r="K32" s="95">
        <f t="shared" si="13"/>
        <v>0</v>
      </c>
    </row>
    <row r="33" spans="1:11" x14ac:dyDescent="0.2">
      <c r="A33" s="245">
        <f t="shared" si="11"/>
        <v>0</v>
      </c>
      <c r="B33" s="245" t="s">
        <v>688</v>
      </c>
      <c r="C33" s="245">
        <f t="shared" si="5"/>
        <v>0</v>
      </c>
      <c r="D33" s="245">
        <f t="shared" si="6"/>
        <v>1200</v>
      </c>
      <c r="E33" s="95">
        <f t="shared" ref="E33:K33" si="14">$C$33*$D$33*E22</f>
        <v>0</v>
      </c>
      <c r="F33" s="95">
        <f t="shared" si="14"/>
        <v>0</v>
      </c>
      <c r="G33" s="95">
        <f t="shared" si="14"/>
        <v>0</v>
      </c>
      <c r="H33" s="95">
        <f t="shared" si="14"/>
        <v>0</v>
      </c>
      <c r="I33" s="95">
        <f t="shared" si="14"/>
        <v>0</v>
      </c>
      <c r="J33" s="95">
        <f t="shared" si="14"/>
        <v>0</v>
      </c>
      <c r="K33" s="95">
        <f t="shared" si="14"/>
        <v>0</v>
      </c>
    </row>
    <row r="34" spans="1:11" x14ac:dyDescent="0.2">
      <c r="A34" s="245">
        <f t="shared" si="11"/>
        <v>0</v>
      </c>
      <c r="B34" s="245" t="s">
        <v>688</v>
      </c>
      <c r="C34" s="245">
        <f t="shared" si="5"/>
        <v>0</v>
      </c>
      <c r="D34" s="245">
        <f t="shared" si="6"/>
        <v>1000</v>
      </c>
      <c r="E34" s="95">
        <f t="shared" ref="E34:K34" si="15">$C$34*$D$34*E22</f>
        <v>0</v>
      </c>
      <c r="F34" s="95">
        <f t="shared" si="15"/>
        <v>0</v>
      </c>
      <c r="G34" s="95">
        <f t="shared" si="15"/>
        <v>0</v>
      </c>
      <c r="H34" s="95">
        <f t="shared" si="15"/>
        <v>0</v>
      </c>
      <c r="I34" s="95">
        <f t="shared" si="15"/>
        <v>0</v>
      </c>
      <c r="J34" s="95">
        <f t="shared" si="15"/>
        <v>0</v>
      </c>
      <c r="K34" s="95">
        <f t="shared" si="15"/>
        <v>0</v>
      </c>
    </row>
    <row r="35" spans="1:11" x14ac:dyDescent="0.2">
      <c r="A35" s="245">
        <f t="shared" si="11"/>
        <v>0</v>
      </c>
      <c r="B35" s="245" t="s">
        <v>688</v>
      </c>
      <c r="C35" s="245">
        <f t="shared" si="5"/>
        <v>0</v>
      </c>
      <c r="D35" s="245">
        <f t="shared" si="6"/>
        <v>800</v>
      </c>
      <c r="E35" s="95">
        <f t="shared" ref="E35:K35" si="16">$C$35*$D$35*E22</f>
        <v>0</v>
      </c>
      <c r="F35" s="95">
        <f t="shared" si="16"/>
        <v>0</v>
      </c>
      <c r="G35" s="95">
        <f t="shared" si="16"/>
        <v>0</v>
      </c>
      <c r="H35" s="95">
        <f t="shared" si="16"/>
        <v>0</v>
      </c>
      <c r="I35" s="95">
        <f t="shared" si="16"/>
        <v>0</v>
      </c>
      <c r="J35" s="95">
        <f t="shared" si="16"/>
        <v>0</v>
      </c>
      <c r="K35" s="95">
        <f t="shared" si="16"/>
        <v>0</v>
      </c>
    </row>
    <row r="36" spans="1:11" x14ac:dyDescent="0.2">
      <c r="A36" s="245">
        <f t="shared" si="11"/>
        <v>0</v>
      </c>
      <c r="B36" s="98"/>
      <c r="C36" s="245">
        <f t="shared" si="5"/>
        <v>0</v>
      </c>
      <c r="D36" s="245">
        <f t="shared" si="6"/>
        <v>0</v>
      </c>
      <c r="E36" s="95">
        <f t="shared" ref="E36:K36" si="17">$C$36*$D$36*E22</f>
        <v>0</v>
      </c>
      <c r="F36" s="95">
        <f t="shared" si="17"/>
        <v>0</v>
      </c>
      <c r="G36" s="95">
        <f t="shared" si="17"/>
        <v>0</v>
      </c>
      <c r="H36" s="95">
        <f t="shared" si="17"/>
        <v>0</v>
      </c>
      <c r="I36" s="95">
        <f t="shared" si="17"/>
        <v>0</v>
      </c>
      <c r="J36" s="95">
        <f t="shared" si="17"/>
        <v>0</v>
      </c>
      <c r="K36" s="95">
        <f t="shared" si="17"/>
        <v>0</v>
      </c>
    </row>
    <row r="37" spans="1:11" x14ac:dyDescent="0.2">
      <c r="A37" s="98" t="s">
        <v>143</v>
      </c>
      <c r="B37" s="98"/>
      <c r="C37" s="98"/>
      <c r="D37" s="98"/>
      <c r="E37" s="95">
        <f t="shared" ref="E37:K37" si="18">SUM(E27:E36)</f>
        <v>0</v>
      </c>
      <c r="F37" s="95">
        <f t="shared" si="18"/>
        <v>0</v>
      </c>
      <c r="G37" s="95">
        <f t="shared" si="18"/>
        <v>0</v>
      </c>
      <c r="H37" s="95">
        <f t="shared" si="18"/>
        <v>0</v>
      </c>
      <c r="I37" s="95">
        <f t="shared" si="18"/>
        <v>0</v>
      </c>
      <c r="J37" s="95">
        <f t="shared" si="18"/>
        <v>0</v>
      </c>
      <c r="K37" s="95">
        <f t="shared" si="18"/>
        <v>0</v>
      </c>
    </row>
    <row r="38" spans="1:11" x14ac:dyDescent="0.2">
      <c r="A38" s="93"/>
      <c r="B38" s="93"/>
      <c r="C38" s="93"/>
      <c r="D38" s="93"/>
      <c r="E38" s="95"/>
      <c r="F38" s="95"/>
      <c r="G38" s="95"/>
      <c r="H38" s="95"/>
      <c r="I38" s="95"/>
      <c r="J38" s="95"/>
      <c r="K38" s="95"/>
    </row>
    <row r="39" spans="1:11" x14ac:dyDescent="0.2">
      <c r="A39" s="98" t="s">
        <v>142</v>
      </c>
      <c r="B39" s="98"/>
      <c r="C39" s="98"/>
      <c r="D39" s="98"/>
      <c r="E39" s="95"/>
      <c r="F39" s="95"/>
      <c r="G39" s="95"/>
      <c r="H39" s="95"/>
      <c r="I39" s="95"/>
      <c r="J39" s="95"/>
      <c r="K39" s="95"/>
    </row>
    <row r="40" spans="1:11" x14ac:dyDescent="0.2">
      <c r="A40" s="98" t="s">
        <v>302</v>
      </c>
      <c r="B40" s="98"/>
      <c r="C40" s="98"/>
      <c r="D40" s="98"/>
      <c r="E40" s="95"/>
      <c r="F40" s="95"/>
      <c r="G40" s="95"/>
      <c r="H40" s="95"/>
      <c r="I40" s="95"/>
      <c r="J40" s="95"/>
      <c r="K40" s="95"/>
    </row>
    <row r="41" spans="1:11" x14ac:dyDescent="0.2">
      <c r="A41" s="93" t="s">
        <v>303</v>
      </c>
      <c r="B41" s="93" t="s">
        <v>431</v>
      </c>
      <c r="C41" s="93">
        <f>SUM(J8:J16)</f>
        <v>0</v>
      </c>
      <c r="D41" s="239">
        <v>100</v>
      </c>
      <c r="E41" s="95">
        <f t="shared" ref="E41:K41" si="19">$C$41*$D$41*E22</f>
        <v>0</v>
      </c>
      <c r="F41" s="95">
        <f t="shared" si="19"/>
        <v>0</v>
      </c>
      <c r="G41" s="95">
        <f t="shared" si="19"/>
        <v>0</v>
      </c>
      <c r="H41" s="95">
        <f t="shared" si="19"/>
        <v>0</v>
      </c>
      <c r="I41" s="95">
        <f t="shared" si="19"/>
        <v>0</v>
      </c>
      <c r="J41" s="95">
        <f t="shared" si="19"/>
        <v>0</v>
      </c>
      <c r="K41" s="95">
        <f t="shared" si="19"/>
        <v>0</v>
      </c>
    </row>
    <row r="42" spans="1:11" x14ac:dyDescent="0.2">
      <c r="A42" s="93" t="s">
        <v>304</v>
      </c>
      <c r="B42" s="93" t="s">
        <v>433</v>
      </c>
      <c r="C42" s="93">
        <f>SUM(M8:M16)</f>
        <v>0</v>
      </c>
      <c r="D42" s="239">
        <v>300</v>
      </c>
      <c r="E42" s="95">
        <f t="shared" ref="E42:K42" si="20">$C$42*$D$42*E22</f>
        <v>0</v>
      </c>
      <c r="F42" s="95">
        <f t="shared" si="20"/>
        <v>0</v>
      </c>
      <c r="G42" s="95">
        <f t="shared" si="20"/>
        <v>0</v>
      </c>
      <c r="H42" s="95">
        <f t="shared" si="20"/>
        <v>0</v>
      </c>
      <c r="I42" s="95">
        <f t="shared" si="20"/>
        <v>0</v>
      </c>
      <c r="J42" s="95">
        <f t="shared" si="20"/>
        <v>0</v>
      </c>
      <c r="K42" s="95">
        <f t="shared" si="20"/>
        <v>0</v>
      </c>
    </row>
    <row r="43" spans="1:11" x14ac:dyDescent="0.2">
      <c r="A43" s="93"/>
      <c r="B43" s="93"/>
      <c r="C43" s="239"/>
      <c r="D43" s="239"/>
      <c r="E43" s="95"/>
      <c r="F43" s="95"/>
      <c r="G43" s="95"/>
      <c r="H43" s="95"/>
      <c r="I43" s="95"/>
      <c r="J43" s="95"/>
      <c r="K43" s="95"/>
    </row>
    <row r="44" spans="1:11" x14ac:dyDescent="0.2">
      <c r="A44" s="93"/>
      <c r="B44" s="93"/>
      <c r="C44" s="239"/>
      <c r="D44" s="239"/>
      <c r="E44" s="95"/>
      <c r="F44" s="95"/>
      <c r="G44" s="95"/>
      <c r="H44" s="95"/>
      <c r="I44" s="95"/>
      <c r="J44" s="95"/>
      <c r="K44" s="95"/>
    </row>
    <row r="45" spans="1:11" x14ac:dyDescent="0.2">
      <c r="A45" s="93"/>
      <c r="B45" s="93"/>
      <c r="C45" s="239"/>
      <c r="D45" s="239"/>
      <c r="E45" s="95"/>
      <c r="F45" s="95"/>
      <c r="G45" s="95"/>
      <c r="H45" s="95"/>
      <c r="I45" s="95"/>
      <c r="J45" s="95"/>
      <c r="K45" s="95"/>
    </row>
    <row r="46" spans="1:11" x14ac:dyDescent="0.2">
      <c r="A46" s="93"/>
      <c r="B46" s="93"/>
      <c r="C46" s="239"/>
      <c r="D46" s="239"/>
      <c r="E46" s="95"/>
      <c r="F46" s="95"/>
      <c r="G46" s="95"/>
      <c r="H46" s="95"/>
      <c r="I46" s="95"/>
      <c r="J46" s="95"/>
      <c r="K46" s="95"/>
    </row>
    <row r="47" spans="1:11" x14ac:dyDescent="0.2">
      <c r="A47" s="98" t="s">
        <v>312</v>
      </c>
      <c r="B47" s="98"/>
      <c r="C47" s="242"/>
      <c r="D47" s="242"/>
      <c r="E47" s="104">
        <f>SUM(E41:E46)</f>
        <v>0</v>
      </c>
      <c r="F47" s="104">
        <f t="shared" ref="F47:K47" si="21">SUM(F41:F46)</f>
        <v>0</v>
      </c>
      <c r="G47" s="104">
        <f t="shared" si="21"/>
        <v>0</v>
      </c>
      <c r="H47" s="104">
        <f t="shared" si="21"/>
        <v>0</v>
      </c>
      <c r="I47" s="104">
        <f t="shared" si="21"/>
        <v>0</v>
      </c>
      <c r="J47" s="104">
        <f t="shared" si="21"/>
        <v>0</v>
      </c>
      <c r="K47" s="104">
        <f t="shared" si="21"/>
        <v>0</v>
      </c>
    </row>
    <row r="48" spans="1:11" x14ac:dyDescent="0.2">
      <c r="A48" s="98"/>
      <c r="B48" s="98"/>
      <c r="C48" s="242"/>
      <c r="D48" s="242"/>
      <c r="E48" s="104"/>
      <c r="F48" s="104"/>
      <c r="G48" s="104"/>
      <c r="H48" s="104"/>
      <c r="I48" s="104"/>
      <c r="J48" s="104"/>
      <c r="K48" s="104"/>
    </row>
    <row r="49" spans="1:12" x14ac:dyDescent="0.2">
      <c r="A49" s="244" t="s">
        <v>305</v>
      </c>
      <c r="B49" s="244"/>
      <c r="C49" s="391"/>
      <c r="D49" s="391"/>
      <c r="E49" s="95"/>
      <c r="F49" s="95"/>
      <c r="G49" s="95"/>
      <c r="H49" s="95"/>
      <c r="I49" s="95"/>
      <c r="J49" s="95"/>
      <c r="K49" s="95"/>
    </row>
    <row r="50" spans="1:12" x14ac:dyDescent="0.2">
      <c r="A50" s="245" t="s">
        <v>716</v>
      </c>
      <c r="B50" s="93" t="s">
        <v>377</v>
      </c>
      <c r="C50" s="391"/>
      <c r="D50" s="392"/>
      <c r="E50" s="95">
        <f t="shared" ref="E50:K50" si="22">$C50*$D50*12*E$22</f>
        <v>0</v>
      </c>
      <c r="F50" s="95">
        <f t="shared" si="22"/>
        <v>0</v>
      </c>
      <c r="G50" s="95">
        <f t="shared" si="22"/>
        <v>0</v>
      </c>
      <c r="H50" s="95">
        <f t="shared" si="22"/>
        <v>0</v>
      </c>
      <c r="I50" s="95">
        <f t="shared" si="22"/>
        <v>0</v>
      </c>
      <c r="J50" s="95">
        <f t="shared" si="22"/>
        <v>0</v>
      </c>
      <c r="K50" s="95">
        <f t="shared" si="22"/>
        <v>0</v>
      </c>
    </row>
    <row r="51" spans="1:12" x14ac:dyDescent="0.2">
      <c r="A51" s="245"/>
      <c r="B51" s="245"/>
      <c r="C51" s="391"/>
      <c r="D51" s="392"/>
      <c r="E51" s="95"/>
      <c r="F51" s="95"/>
      <c r="G51" s="95"/>
      <c r="H51" s="95"/>
      <c r="I51" s="95"/>
      <c r="J51" s="95"/>
      <c r="K51" s="95"/>
    </row>
    <row r="52" spans="1:12" x14ac:dyDescent="0.2">
      <c r="A52" s="98" t="s">
        <v>316</v>
      </c>
      <c r="B52" s="98"/>
      <c r="C52" s="98"/>
      <c r="D52" s="98"/>
      <c r="E52" s="104">
        <f t="shared" ref="E52:K52" si="23">SUM(E50:E51)</f>
        <v>0</v>
      </c>
      <c r="F52" s="104">
        <f t="shared" si="23"/>
        <v>0</v>
      </c>
      <c r="G52" s="104">
        <f t="shared" si="23"/>
        <v>0</v>
      </c>
      <c r="H52" s="104">
        <f t="shared" si="23"/>
        <v>0</v>
      </c>
      <c r="I52" s="104">
        <f t="shared" si="23"/>
        <v>0</v>
      </c>
      <c r="J52" s="104">
        <f t="shared" si="23"/>
        <v>0</v>
      </c>
      <c r="K52" s="104">
        <f t="shared" si="23"/>
        <v>0</v>
      </c>
    </row>
    <row r="53" spans="1:12" x14ac:dyDescent="0.2">
      <c r="A53" s="98" t="s">
        <v>129</v>
      </c>
      <c r="B53" s="98"/>
      <c r="C53" s="98"/>
      <c r="D53" s="98"/>
      <c r="E53" s="104">
        <f t="shared" ref="E53:K53" si="24">E47+E52</f>
        <v>0</v>
      </c>
      <c r="F53" s="104">
        <f t="shared" si="24"/>
        <v>0</v>
      </c>
      <c r="G53" s="104">
        <f t="shared" si="24"/>
        <v>0</v>
      </c>
      <c r="H53" s="104">
        <f t="shared" si="24"/>
        <v>0</v>
      </c>
      <c r="I53" s="104">
        <f t="shared" si="24"/>
        <v>0</v>
      </c>
      <c r="J53" s="104">
        <f t="shared" si="24"/>
        <v>0</v>
      </c>
      <c r="K53" s="104">
        <f t="shared" si="24"/>
        <v>0</v>
      </c>
    </row>
    <row r="54" spans="1:12" x14ac:dyDescent="0.2">
      <c r="A54" s="93"/>
      <c r="B54" s="93"/>
      <c r="C54" s="93"/>
      <c r="D54" s="93"/>
      <c r="E54" s="95"/>
      <c r="F54" s="95"/>
      <c r="G54" s="95"/>
      <c r="H54" s="95"/>
      <c r="I54" s="95"/>
      <c r="J54" s="95"/>
      <c r="K54" s="95"/>
    </row>
    <row r="55" spans="1:12" x14ac:dyDescent="0.2">
      <c r="A55" s="98" t="s">
        <v>307</v>
      </c>
      <c r="B55" s="98"/>
      <c r="C55" s="98"/>
      <c r="D55" s="98"/>
      <c r="E55" s="104">
        <f t="shared" ref="E55:K55" si="25">E37-E53</f>
        <v>0</v>
      </c>
      <c r="F55" s="104">
        <f t="shared" si="25"/>
        <v>0</v>
      </c>
      <c r="G55" s="104">
        <f t="shared" si="25"/>
        <v>0</v>
      </c>
      <c r="H55" s="104">
        <f t="shared" si="25"/>
        <v>0</v>
      </c>
      <c r="I55" s="104">
        <f t="shared" si="25"/>
        <v>0</v>
      </c>
      <c r="J55" s="104">
        <f t="shared" si="25"/>
        <v>0</v>
      </c>
      <c r="K55" s="104">
        <f t="shared" si="25"/>
        <v>0</v>
      </c>
    </row>
    <row r="56" spans="1:12" x14ac:dyDescent="0.2">
      <c r="A56" s="151"/>
      <c r="B56" s="151"/>
      <c r="C56" s="151"/>
      <c r="D56" s="151"/>
      <c r="E56" s="393"/>
      <c r="F56" s="393"/>
      <c r="G56" s="393"/>
      <c r="H56" s="393"/>
      <c r="I56" s="393"/>
      <c r="J56" s="393"/>
      <c r="K56" s="393"/>
    </row>
    <row r="57" spans="1:12" x14ac:dyDescent="0.2">
      <c r="C57" s="151"/>
      <c r="D57" s="151"/>
      <c r="E57" s="393"/>
      <c r="F57" s="393"/>
      <c r="G57" s="393"/>
      <c r="H57" s="393"/>
      <c r="I57" s="393"/>
      <c r="J57" s="393"/>
      <c r="K57" s="393"/>
    </row>
    <row r="58" spans="1:12" x14ac:dyDescent="0.2">
      <c r="A58" s="429" t="s">
        <v>408</v>
      </c>
      <c r="B58" s="429"/>
      <c r="C58" s="429"/>
      <c r="D58" s="429"/>
      <c r="E58" s="429"/>
      <c r="F58" s="429"/>
      <c r="G58" s="429"/>
      <c r="H58" s="429"/>
      <c r="I58" s="429"/>
      <c r="J58" s="429"/>
      <c r="K58" s="429"/>
      <c r="L58" s="429"/>
    </row>
    <row r="61" spans="1:12" x14ac:dyDescent="0.2">
      <c r="A61" s="92" t="s">
        <v>527</v>
      </c>
    </row>
    <row r="62" spans="1:12" x14ac:dyDescent="0.2">
      <c r="A62" s="92">
        <v>1</v>
      </c>
      <c r="B62" s="92" t="s">
        <v>540</v>
      </c>
    </row>
    <row r="63" spans="1:12" x14ac:dyDescent="0.2">
      <c r="A63" s="92">
        <v>2</v>
      </c>
      <c r="B63" s="92" t="s">
        <v>541</v>
      </c>
    </row>
    <row r="64" spans="1:12" x14ac:dyDescent="0.2">
      <c r="A64" s="92">
        <v>3</v>
      </c>
      <c r="B64" s="92" t="s">
        <v>592</v>
      </c>
    </row>
  </sheetData>
  <mergeCells count="4">
    <mergeCell ref="A20:K20"/>
    <mergeCell ref="A3:L3"/>
    <mergeCell ref="A58:L58"/>
    <mergeCell ref="A4:L4"/>
  </mergeCells>
  <pageMargins left="0.7" right="0.7" top="0.75" bottom="0.75" header="0.3" footer="0.3"/>
  <pageSetup paperSize="9" scale="4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2:W285"/>
  <sheetViews>
    <sheetView view="pageBreakPreview" topLeftCell="A124" zoomScale="80" zoomScaleSheetLayoutView="80" workbookViewId="0">
      <selection activeCell="A124" sqref="A1:XFD1048576"/>
    </sheetView>
  </sheetViews>
  <sheetFormatPr defaultColWidth="8.7421875" defaultRowHeight="15" x14ac:dyDescent="0.2"/>
  <cols>
    <col min="1" max="1" width="41.1640625" style="92" bestFit="1" customWidth="1"/>
    <col min="2" max="2" width="9.14453125" style="92" customWidth="1"/>
    <col min="3" max="3" width="10.4921875" style="92" bestFit="1" customWidth="1"/>
    <col min="4" max="4" width="13.44921875" style="92" bestFit="1" customWidth="1"/>
    <col min="5" max="5" width="19.50390625" style="92" bestFit="1" customWidth="1"/>
    <col min="6" max="6" width="14.66015625" style="92" customWidth="1"/>
    <col min="7" max="10" width="14.66015625" style="92" bestFit="1" customWidth="1"/>
    <col min="11" max="11" width="8.7421875" style="92"/>
    <col min="12" max="12" width="27.171875" style="92" bestFit="1" customWidth="1"/>
    <col min="13" max="17" width="8.7421875" style="92"/>
    <col min="18" max="20" width="9.4140625" style="92" bestFit="1" customWidth="1"/>
    <col min="21" max="21" width="8.7421875" style="92"/>
    <col min="22" max="22" width="9.4140625" style="92" bestFit="1" customWidth="1"/>
    <col min="23" max="16384" width="8.7421875" style="92"/>
  </cols>
  <sheetData>
    <row r="2" spans="1:9" ht="18.75" x14ac:dyDescent="0.25">
      <c r="A2" s="427" t="s">
        <v>585</v>
      </c>
      <c r="B2" s="427"/>
      <c r="C2" s="427"/>
      <c r="D2" s="427"/>
      <c r="E2" s="427"/>
      <c r="F2" s="427"/>
      <c r="G2" s="427"/>
      <c r="H2" s="427"/>
      <c r="I2" s="427"/>
    </row>
    <row r="6" spans="1:9" x14ac:dyDescent="0.2">
      <c r="A6" s="126" t="s">
        <v>127</v>
      </c>
      <c r="B6" s="126"/>
      <c r="C6" s="127" t="s">
        <v>2</v>
      </c>
      <c r="D6" s="127" t="s">
        <v>3</v>
      </c>
      <c r="E6" s="127" t="s">
        <v>4</v>
      </c>
      <c r="F6" s="127" t="s">
        <v>5</v>
      </c>
      <c r="G6" s="127" t="s">
        <v>6</v>
      </c>
      <c r="H6" s="127" t="s">
        <v>168</v>
      </c>
      <c r="I6" s="127" t="s">
        <v>167</v>
      </c>
    </row>
    <row r="7" spans="1:9" x14ac:dyDescent="0.2">
      <c r="A7" s="98" t="s">
        <v>543</v>
      </c>
      <c r="B7" s="93"/>
      <c r="C7" s="93"/>
      <c r="D7" s="93"/>
      <c r="E7" s="93"/>
      <c r="F7" s="93"/>
      <c r="G7" s="93"/>
      <c r="H7" s="93"/>
      <c r="I7" s="93"/>
    </row>
    <row r="8" spans="1:9" x14ac:dyDescent="0.2">
      <c r="A8" s="98" t="s">
        <v>177</v>
      </c>
      <c r="B8" s="394"/>
      <c r="C8" s="395"/>
      <c r="D8" s="395"/>
      <c r="E8" s="395"/>
      <c r="F8" s="395"/>
      <c r="G8" s="395"/>
      <c r="H8" s="395"/>
      <c r="I8" s="395"/>
    </row>
    <row r="9" spans="1:9" x14ac:dyDescent="0.2">
      <c r="A9" s="93" t="str">
        <f>'10.Grain Production details'!A92</f>
        <v>Soybean</v>
      </c>
      <c r="B9" s="394"/>
      <c r="C9" s="395">
        <f>'10.Grain Production details'!B92</f>
        <v>0</v>
      </c>
      <c r="D9" s="395">
        <f>'10.Grain Production details'!C92</f>
        <v>0</v>
      </c>
      <c r="E9" s="395">
        <f>'10.Grain Production details'!D92</f>
        <v>0</v>
      </c>
      <c r="F9" s="395">
        <f>'10.Grain Production details'!E92</f>
        <v>0</v>
      </c>
      <c r="G9" s="395">
        <f>'10.Grain Production details'!F92</f>
        <v>0</v>
      </c>
      <c r="H9" s="395">
        <f>'10.Grain Production details'!G92</f>
        <v>0</v>
      </c>
      <c r="I9" s="395">
        <f>'10.Grain Production details'!H92</f>
        <v>0</v>
      </c>
    </row>
    <row r="10" spans="1:9" x14ac:dyDescent="0.2">
      <c r="A10" s="93" t="str">
        <f>'10.Grain Production details'!A93</f>
        <v>Red Gram/Tur</v>
      </c>
      <c r="B10" s="394"/>
      <c r="C10" s="395">
        <f>'10.Grain Production details'!B93</f>
        <v>0</v>
      </c>
      <c r="D10" s="395">
        <f>'10.Grain Production details'!C93</f>
        <v>0</v>
      </c>
      <c r="E10" s="395">
        <f>'10.Grain Production details'!D93</f>
        <v>0</v>
      </c>
      <c r="F10" s="395">
        <f>'10.Grain Production details'!E93</f>
        <v>0</v>
      </c>
      <c r="G10" s="395">
        <f>'10.Grain Production details'!F93</f>
        <v>0</v>
      </c>
      <c r="H10" s="395">
        <f>'10.Grain Production details'!G93</f>
        <v>0</v>
      </c>
      <c r="I10" s="395">
        <f>'10.Grain Production details'!H93</f>
        <v>0</v>
      </c>
    </row>
    <row r="11" spans="1:9" x14ac:dyDescent="0.2">
      <c r="A11" s="93" t="str">
        <f>'10.Grain Production details'!A94</f>
        <v>Paddy/Rice</v>
      </c>
      <c r="B11" s="394"/>
      <c r="C11" s="395">
        <f>'10.Grain Production details'!B94</f>
        <v>0</v>
      </c>
      <c r="D11" s="395">
        <f>'10.Grain Production details'!C94</f>
        <v>0</v>
      </c>
      <c r="E11" s="395">
        <f>'10.Grain Production details'!D94</f>
        <v>0</v>
      </c>
      <c r="F11" s="395">
        <f>'10.Grain Production details'!E94</f>
        <v>0</v>
      </c>
      <c r="G11" s="395">
        <f>'10.Grain Production details'!F94</f>
        <v>0</v>
      </c>
      <c r="H11" s="395">
        <f>'10.Grain Production details'!G94</f>
        <v>0</v>
      </c>
      <c r="I11" s="395">
        <f>'10.Grain Production details'!H94</f>
        <v>0</v>
      </c>
    </row>
    <row r="12" spans="1:9" x14ac:dyDescent="0.2">
      <c r="A12" s="93" t="str">
        <f>'10.Grain Production details'!A95</f>
        <v>Green Gram/ Moong</v>
      </c>
      <c r="B12" s="394"/>
      <c r="C12" s="395">
        <f>'10.Grain Production details'!B95</f>
        <v>0</v>
      </c>
      <c r="D12" s="395">
        <f>'10.Grain Production details'!C95</f>
        <v>0</v>
      </c>
      <c r="E12" s="395">
        <f>'10.Grain Production details'!D95</f>
        <v>0</v>
      </c>
      <c r="F12" s="395">
        <f>'10.Grain Production details'!E95</f>
        <v>0</v>
      </c>
      <c r="G12" s="395">
        <f>'10.Grain Production details'!F95</f>
        <v>0</v>
      </c>
      <c r="H12" s="395">
        <f>'10.Grain Production details'!G95</f>
        <v>0</v>
      </c>
      <c r="I12" s="395">
        <f>'10.Grain Production details'!H95</f>
        <v>0</v>
      </c>
    </row>
    <row r="13" spans="1:9" x14ac:dyDescent="0.2">
      <c r="A13" s="93" t="str">
        <f>'10.Grain Production details'!A96</f>
        <v>Maize</v>
      </c>
      <c r="B13" s="394"/>
      <c r="C13" s="395">
        <f>'10.Grain Production details'!B96</f>
        <v>0</v>
      </c>
      <c r="D13" s="395">
        <f>'10.Grain Production details'!C96</f>
        <v>0</v>
      </c>
      <c r="E13" s="395">
        <f>'10.Grain Production details'!D96</f>
        <v>0</v>
      </c>
      <c r="F13" s="395">
        <f>'10.Grain Production details'!E96</f>
        <v>0</v>
      </c>
      <c r="G13" s="395">
        <f>'10.Grain Production details'!F96</f>
        <v>0</v>
      </c>
      <c r="H13" s="395">
        <f>'10.Grain Production details'!G96</f>
        <v>0</v>
      </c>
      <c r="I13" s="395">
        <f>'10.Grain Production details'!H96</f>
        <v>0</v>
      </c>
    </row>
    <row r="14" spans="1:9" x14ac:dyDescent="0.2">
      <c r="A14" s="93" t="str">
        <f>'10.Grain Production details'!A97</f>
        <v>Black Gram/Udid</v>
      </c>
      <c r="B14" s="394"/>
      <c r="C14" s="395">
        <f>'10.Grain Production details'!B97</f>
        <v>0</v>
      </c>
      <c r="D14" s="395">
        <f>'10.Grain Production details'!C97</f>
        <v>0</v>
      </c>
      <c r="E14" s="395">
        <f>'10.Grain Production details'!D97</f>
        <v>0</v>
      </c>
      <c r="F14" s="395">
        <f>'10.Grain Production details'!E97</f>
        <v>0</v>
      </c>
      <c r="G14" s="395">
        <f>'10.Grain Production details'!F97</f>
        <v>0</v>
      </c>
      <c r="H14" s="395">
        <f>'10.Grain Production details'!G97</f>
        <v>0</v>
      </c>
      <c r="I14" s="395">
        <f>'10.Grain Production details'!H97</f>
        <v>0</v>
      </c>
    </row>
    <row r="15" spans="1:9" x14ac:dyDescent="0.2">
      <c r="A15" s="93" t="str">
        <f>'10.Grain Production details'!A98</f>
        <v>Bajra</v>
      </c>
      <c r="B15" s="394"/>
      <c r="C15" s="395">
        <f>'10.Grain Production details'!B98</f>
        <v>0</v>
      </c>
      <c r="D15" s="395">
        <f>'10.Grain Production details'!C98</f>
        <v>0</v>
      </c>
      <c r="E15" s="395">
        <f>'10.Grain Production details'!D98</f>
        <v>0</v>
      </c>
      <c r="F15" s="395">
        <f>'10.Grain Production details'!E98</f>
        <v>0</v>
      </c>
      <c r="G15" s="395">
        <f>'10.Grain Production details'!F98</f>
        <v>0</v>
      </c>
      <c r="H15" s="395">
        <f>'10.Grain Production details'!G98</f>
        <v>0</v>
      </c>
      <c r="I15" s="395">
        <f>'10.Grain Production details'!H98</f>
        <v>0</v>
      </c>
    </row>
    <row r="16" spans="1:9" x14ac:dyDescent="0.2">
      <c r="A16" s="93" t="str">
        <f>'10.Grain Production details'!A99</f>
        <v>Jawar</v>
      </c>
      <c r="B16" s="394"/>
      <c r="C16" s="395">
        <f>'10.Grain Production details'!B99</f>
        <v>0</v>
      </c>
      <c r="D16" s="395">
        <f>'10.Grain Production details'!C99</f>
        <v>0</v>
      </c>
      <c r="E16" s="395">
        <f>'10.Grain Production details'!D99</f>
        <v>0</v>
      </c>
      <c r="F16" s="395">
        <f>'10.Grain Production details'!E99</f>
        <v>0</v>
      </c>
      <c r="G16" s="395">
        <f>'10.Grain Production details'!F99</f>
        <v>0</v>
      </c>
      <c r="H16" s="395">
        <f>'10.Grain Production details'!G99</f>
        <v>0</v>
      </c>
      <c r="I16" s="395">
        <f>'10.Grain Production details'!H99</f>
        <v>0</v>
      </c>
    </row>
    <row r="17" spans="1:9" x14ac:dyDescent="0.2">
      <c r="A17" s="98" t="s">
        <v>181</v>
      </c>
      <c r="B17" s="394"/>
      <c r="C17" s="395"/>
      <c r="D17" s="395"/>
      <c r="E17" s="395"/>
      <c r="F17" s="395"/>
      <c r="G17" s="395"/>
      <c r="H17" s="395"/>
      <c r="I17" s="395"/>
    </row>
    <row r="18" spans="1:9" x14ac:dyDescent="0.2">
      <c r="A18" s="93" t="str">
        <f>'10.Grain Production details'!A101</f>
        <v>Wheat</v>
      </c>
      <c r="B18" s="394"/>
      <c r="C18" s="395">
        <f>'10.Grain Production details'!B101</f>
        <v>0</v>
      </c>
      <c r="D18" s="395">
        <f>'10.Grain Production details'!C101</f>
        <v>0</v>
      </c>
      <c r="E18" s="395">
        <f>'10.Grain Production details'!D101</f>
        <v>0</v>
      </c>
      <c r="F18" s="395">
        <f>'10.Grain Production details'!E101</f>
        <v>0</v>
      </c>
      <c r="G18" s="395">
        <f>'10.Grain Production details'!F101</f>
        <v>0</v>
      </c>
      <c r="H18" s="395">
        <f>'10.Grain Production details'!G101</f>
        <v>0</v>
      </c>
      <c r="I18" s="395">
        <f>'10.Grain Production details'!H101</f>
        <v>0</v>
      </c>
    </row>
    <row r="19" spans="1:9" x14ac:dyDescent="0.2">
      <c r="A19" s="93" t="str">
        <f>'10.Grain Production details'!A102</f>
        <v>Bengal Gram/Channa</v>
      </c>
      <c r="B19" s="394"/>
      <c r="C19" s="395">
        <f>'10.Grain Production details'!B102</f>
        <v>0</v>
      </c>
      <c r="D19" s="395">
        <f>'10.Grain Production details'!C102</f>
        <v>0</v>
      </c>
      <c r="E19" s="395">
        <f>'10.Grain Production details'!D102</f>
        <v>0</v>
      </c>
      <c r="F19" s="395">
        <f>'10.Grain Production details'!E102</f>
        <v>0</v>
      </c>
      <c r="G19" s="395">
        <f>'10.Grain Production details'!F102</f>
        <v>0</v>
      </c>
      <c r="H19" s="395">
        <f>'10.Grain Production details'!G102</f>
        <v>0</v>
      </c>
      <c r="I19" s="395">
        <f>'10.Grain Production details'!H102</f>
        <v>0</v>
      </c>
    </row>
    <row r="20" spans="1:9" x14ac:dyDescent="0.2">
      <c r="A20" s="93" t="str">
        <f>'10.Grain Production details'!A103</f>
        <v>Jawar</v>
      </c>
      <c r="B20" s="394"/>
      <c r="C20" s="395">
        <f>'10.Grain Production details'!B103</f>
        <v>0</v>
      </c>
      <c r="D20" s="395">
        <f>'10.Grain Production details'!C103</f>
        <v>0</v>
      </c>
      <c r="E20" s="395">
        <f>'10.Grain Production details'!D103</f>
        <v>0</v>
      </c>
      <c r="F20" s="395">
        <f>'10.Grain Production details'!E103</f>
        <v>0</v>
      </c>
      <c r="G20" s="395">
        <f>'10.Grain Production details'!F103</f>
        <v>0</v>
      </c>
      <c r="H20" s="395">
        <f>'10.Grain Production details'!G103</f>
        <v>0</v>
      </c>
      <c r="I20" s="395">
        <f>'10.Grain Production details'!H103</f>
        <v>0</v>
      </c>
    </row>
    <row r="21" spans="1:9" x14ac:dyDescent="0.2">
      <c r="A21" s="93" t="str">
        <f>'10.Grain Production details'!A104</f>
        <v>Maize</v>
      </c>
      <c r="B21" s="394"/>
      <c r="C21" s="395">
        <f>'10.Grain Production details'!B104</f>
        <v>0</v>
      </c>
      <c r="D21" s="395">
        <f>'10.Grain Production details'!C104</f>
        <v>0</v>
      </c>
      <c r="E21" s="395">
        <f>'10.Grain Production details'!D104</f>
        <v>0</v>
      </c>
      <c r="F21" s="395">
        <f>'10.Grain Production details'!E104</f>
        <v>0</v>
      </c>
      <c r="G21" s="395">
        <f>'10.Grain Production details'!F104</f>
        <v>0</v>
      </c>
      <c r="H21" s="395">
        <f>'10.Grain Production details'!G104</f>
        <v>0</v>
      </c>
      <c r="I21" s="395">
        <f>'10.Grain Production details'!H104</f>
        <v>0</v>
      </c>
    </row>
    <row r="22" spans="1:9" x14ac:dyDescent="0.2">
      <c r="A22" s="93" t="str">
        <f>'10.Grain Production details'!A105</f>
        <v>Safflower</v>
      </c>
      <c r="B22" s="394"/>
      <c r="C22" s="395">
        <f>'10.Grain Production details'!B105</f>
        <v>0</v>
      </c>
      <c r="D22" s="395">
        <f>'10.Grain Production details'!C105</f>
        <v>0</v>
      </c>
      <c r="E22" s="395">
        <f>'10.Grain Production details'!D105</f>
        <v>0</v>
      </c>
      <c r="F22" s="395">
        <f>'10.Grain Production details'!E105</f>
        <v>0</v>
      </c>
      <c r="G22" s="395">
        <f>'10.Grain Production details'!F105</f>
        <v>0</v>
      </c>
      <c r="H22" s="395">
        <f>'10.Grain Production details'!G105</f>
        <v>0</v>
      </c>
      <c r="I22" s="395">
        <f>'10.Grain Production details'!H105</f>
        <v>0</v>
      </c>
    </row>
    <row r="23" spans="1:9" x14ac:dyDescent="0.2">
      <c r="A23" s="93">
        <f>'10.Grain Production details'!A106</f>
        <v>0</v>
      </c>
      <c r="B23" s="394"/>
      <c r="C23" s="395">
        <f>'10.Grain Production details'!B106</f>
        <v>0</v>
      </c>
      <c r="D23" s="395">
        <f>'10.Grain Production details'!C106</f>
        <v>0</v>
      </c>
      <c r="E23" s="395">
        <f>'10.Grain Production details'!D106</f>
        <v>0</v>
      </c>
      <c r="F23" s="395">
        <f>'10.Grain Production details'!E106</f>
        <v>0</v>
      </c>
      <c r="G23" s="395">
        <f>'10.Grain Production details'!F106</f>
        <v>0</v>
      </c>
      <c r="H23" s="395">
        <f>'10.Grain Production details'!G106</f>
        <v>0</v>
      </c>
      <c r="I23" s="395">
        <f>'10.Grain Production details'!H106</f>
        <v>0</v>
      </c>
    </row>
    <row r="24" spans="1:9" x14ac:dyDescent="0.2">
      <c r="A24" s="93">
        <f>'10.Grain Production details'!A107</f>
        <v>0</v>
      </c>
      <c r="B24" s="394"/>
      <c r="C24" s="395">
        <f>'10.Grain Production details'!B107</f>
        <v>0</v>
      </c>
      <c r="D24" s="395">
        <f>'10.Grain Production details'!C107</f>
        <v>0</v>
      </c>
      <c r="E24" s="395">
        <f>'10.Grain Production details'!D107</f>
        <v>0</v>
      </c>
      <c r="F24" s="395">
        <f>'10.Grain Production details'!E107</f>
        <v>0</v>
      </c>
      <c r="G24" s="395">
        <f>'10.Grain Production details'!F107</f>
        <v>0</v>
      </c>
      <c r="H24" s="395">
        <f>'10.Grain Production details'!G107</f>
        <v>0</v>
      </c>
      <c r="I24" s="395">
        <f>'10.Grain Production details'!H107</f>
        <v>0</v>
      </c>
    </row>
    <row r="25" spans="1:9" x14ac:dyDescent="0.2">
      <c r="A25" s="93">
        <f>'10.Grain Production details'!A108</f>
        <v>0</v>
      </c>
      <c r="B25" s="394"/>
      <c r="C25" s="395">
        <f>'10.Grain Production details'!B108</f>
        <v>0</v>
      </c>
      <c r="D25" s="395">
        <f>'10.Grain Production details'!C108</f>
        <v>0</v>
      </c>
      <c r="E25" s="395">
        <f>'10.Grain Production details'!D108</f>
        <v>0</v>
      </c>
      <c r="F25" s="395">
        <f>'10.Grain Production details'!E108</f>
        <v>0</v>
      </c>
      <c r="G25" s="395">
        <f>'10.Grain Production details'!F108</f>
        <v>0</v>
      </c>
      <c r="H25" s="395">
        <f>'10.Grain Production details'!G108</f>
        <v>0</v>
      </c>
      <c r="I25" s="395">
        <f>'10.Grain Production details'!H108</f>
        <v>0</v>
      </c>
    </row>
    <row r="26" spans="1:9" x14ac:dyDescent="0.2">
      <c r="A26" s="98" t="str">
        <f>'10.Grain Production details'!A33</f>
        <v>Summer</v>
      </c>
      <c r="B26" s="394"/>
      <c r="C26" s="395"/>
      <c r="D26" s="395"/>
      <c r="E26" s="395"/>
      <c r="F26" s="395"/>
      <c r="G26" s="395"/>
      <c r="H26" s="395"/>
      <c r="I26" s="395"/>
    </row>
    <row r="27" spans="1:9" x14ac:dyDescent="0.2">
      <c r="A27" s="93" t="str">
        <f>'10.Grain Production details'!A109</f>
        <v>Groundnut</v>
      </c>
      <c r="B27" s="394"/>
      <c r="C27" s="395">
        <f>'10.Grain Production details'!B110</f>
        <v>0</v>
      </c>
      <c r="D27" s="395">
        <f>'10.Grain Production details'!C110</f>
        <v>0</v>
      </c>
      <c r="E27" s="395">
        <f>'10.Grain Production details'!D110</f>
        <v>0</v>
      </c>
      <c r="F27" s="395">
        <f>'10.Grain Production details'!E110</f>
        <v>0</v>
      </c>
      <c r="G27" s="395">
        <f>'10.Grain Production details'!F110</f>
        <v>0</v>
      </c>
      <c r="H27" s="395">
        <f>'10.Grain Production details'!G110</f>
        <v>0</v>
      </c>
      <c r="I27" s="395">
        <f>'10.Grain Production details'!H110</f>
        <v>0</v>
      </c>
    </row>
    <row r="28" spans="1:9" x14ac:dyDescent="0.2">
      <c r="A28" s="93">
        <f>'10.Grain Production details'!A110</f>
        <v>0</v>
      </c>
      <c r="B28" s="394"/>
      <c r="C28" s="395">
        <f>'10.Grain Production details'!B111</f>
        <v>0</v>
      </c>
      <c r="D28" s="395">
        <f>'10.Grain Production details'!C111</f>
        <v>0</v>
      </c>
      <c r="E28" s="395">
        <f>'10.Grain Production details'!D111</f>
        <v>0</v>
      </c>
      <c r="F28" s="395">
        <f>'10.Grain Production details'!E111</f>
        <v>0</v>
      </c>
      <c r="G28" s="395">
        <f>'10.Grain Production details'!F111</f>
        <v>0</v>
      </c>
      <c r="H28" s="395">
        <f>'10.Grain Production details'!G111</f>
        <v>0</v>
      </c>
      <c r="I28" s="395">
        <f>'10.Grain Production details'!H111</f>
        <v>0</v>
      </c>
    </row>
    <row r="29" spans="1:9" x14ac:dyDescent="0.2">
      <c r="A29" s="93">
        <f>'10.Grain Production details'!A111</f>
        <v>0</v>
      </c>
      <c r="B29" s="394"/>
      <c r="C29" s="395">
        <f>'10.Grain Production details'!B112</f>
        <v>0</v>
      </c>
      <c r="D29" s="395">
        <f>'10.Grain Production details'!C112</f>
        <v>0</v>
      </c>
      <c r="E29" s="395">
        <f>'10.Grain Production details'!D112</f>
        <v>0</v>
      </c>
      <c r="F29" s="395">
        <f>'10.Grain Production details'!E112</f>
        <v>0</v>
      </c>
      <c r="G29" s="395">
        <f>'10.Grain Production details'!F112</f>
        <v>0</v>
      </c>
      <c r="H29" s="395">
        <f>'10.Grain Production details'!G112</f>
        <v>0</v>
      </c>
      <c r="I29" s="395">
        <f>'10.Grain Production details'!H112</f>
        <v>0</v>
      </c>
    </row>
    <row r="30" spans="1:9" x14ac:dyDescent="0.2">
      <c r="A30" s="93">
        <f>'10.Grain Production details'!A112</f>
        <v>0</v>
      </c>
      <c r="B30" s="394"/>
      <c r="C30" s="395">
        <f>'10.Grain Production details'!B113</f>
        <v>0</v>
      </c>
      <c r="D30" s="395">
        <f>'10.Grain Production details'!C113</f>
        <v>0</v>
      </c>
      <c r="E30" s="395">
        <f>'10.Grain Production details'!D113</f>
        <v>0</v>
      </c>
      <c r="F30" s="395">
        <f>'10.Grain Production details'!E113</f>
        <v>0</v>
      </c>
      <c r="G30" s="395">
        <f>'10.Grain Production details'!F113</f>
        <v>0</v>
      </c>
      <c r="H30" s="395">
        <f>'10.Grain Production details'!G113</f>
        <v>0</v>
      </c>
      <c r="I30" s="395">
        <f>'10.Grain Production details'!H113</f>
        <v>0</v>
      </c>
    </row>
    <row r="31" spans="1:9" x14ac:dyDescent="0.2">
      <c r="A31" s="93">
        <f>'10.Grain Production details'!A113</f>
        <v>0</v>
      </c>
      <c r="B31" s="394"/>
      <c r="C31" s="395">
        <f>'10.Grain Production details'!C114</f>
        <v>0</v>
      </c>
      <c r="D31" s="395">
        <f>'10.Grain Production details'!D114</f>
        <v>0</v>
      </c>
      <c r="E31" s="395">
        <f>'10.Grain Production details'!E114</f>
        <v>0</v>
      </c>
      <c r="F31" s="395">
        <f>'10.Grain Production details'!F114</f>
        <v>0</v>
      </c>
      <c r="G31" s="395">
        <f>'10.Grain Production details'!G114</f>
        <v>0</v>
      </c>
      <c r="H31" s="395">
        <f>'10.Grain Production details'!H114</f>
        <v>0</v>
      </c>
      <c r="I31" s="395">
        <f>'10.Grain Production details'!I114</f>
        <v>0</v>
      </c>
    </row>
    <row r="32" spans="1:9" x14ac:dyDescent="0.2">
      <c r="A32" s="98" t="str">
        <f>'11.F&amp;V Crop Production details'!A1:H1</f>
        <v>Fruit  &amp; Vegetables Crop Production Details</v>
      </c>
      <c r="B32" s="394"/>
      <c r="C32" s="395"/>
      <c r="D32" s="395"/>
      <c r="E32" s="395"/>
      <c r="F32" s="395"/>
      <c r="G32" s="395"/>
      <c r="H32" s="395"/>
      <c r="I32" s="395"/>
    </row>
    <row r="33" spans="1:9" x14ac:dyDescent="0.2">
      <c r="A33" s="93" t="str">
        <f>'11.F&amp;V Crop Production details'!A102</f>
        <v>Onion</v>
      </c>
      <c r="B33" s="394"/>
      <c r="C33" s="395">
        <f>'11.F&amp;V Crop Production details'!B102</f>
        <v>0</v>
      </c>
      <c r="D33" s="395">
        <f>'11.F&amp;V Crop Production details'!C102</f>
        <v>0</v>
      </c>
      <c r="E33" s="395">
        <f>'11.F&amp;V Crop Production details'!D102</f>
        <v>0</v>
      </c>
      <c r="F33" s="395">
        <f>'11.F&amp;V Crop Production details'!E102</f>
        <v>0</v>
      </c>
      <c r="G33" s="395">
        <f>'11.F&amp;V Crop Production details'!F102</f>
        <v>0</v>
      </c>
      <c r="H33" s="395">
        <f>'11.F&amp;V Crop Production details'!G102</f>
        <v>0</v>
      </c>
      <c r="I33" s="395">
        <f>'11.F&amp;V Crop Production details'!H102</f>
        <v>0</v>
      </c>
    </row>
    <row r="34" spans="1:9" x14ac:dyDescent="0.2">
      <c r="A34" s="93" t="str">
        <f>'11.F&amp;V Crop Production details'!A103</f>
        <v>Tomato</v>
      </c>
      <c r="B34" s="394"/>
      <c r="C34" s="395">
        <f>'11.F&amp;V Crop Production details'!B103</f>
        <v>0</v>
      </c>
      <c r="D34" s="395">
        <f>'11.F&amp;V Crop Production details'!C103</f>
        <v>0</v>
      </c>
      <c r="E34" s="395">
        <f>'11.F&amp;V Crop Production details'!D103</f>
        <v>0</v>
      </c>
      <c r="F34" s="395">
        <f>'11.F&amp;V Crop Production details'!E103</f>
        <v>0</v>
      </c>
      <c r="G34" s="395">
        <f>'11.F&amp;V Crop Production details'!F103</f>
        <v>0</v>
      </c>
      <c r="H34" s="395">
        <f>'11.F&amp;V Crop Production details'!G103</f>
        <v>0</v>
      </c>
      <c r="I34" s="395">
        <f>'11.F&amp;V Crop Production details'!H103</f>
        <v>0</v>
      </c>
    </row>
    <row r="35" spans="1:9" x14ac:dyDescent="0.2">
      <c r="A35" s="93" t="str">
        <f>'11.F&amp;V Crop Production details'!A104</f>
        <v>Okra</v>
      </c>
      <c r="B35" s="394"/>
      <c r="C35" s="395">
        <f>'11.F&amp;V Crop Production details'!B104</f>
        <v>0</v>
      </c>
      <c r="D35" s="395">
        <f>'11.F&amp;V Crop Production details'!C104</f>
        <v>0</v>
      </c>
      <c r="E35" s="395">
        <f>'11.F&amp;V Crop Production details'!D104</f>
        <v>0</v>
      </c>
      <c r="F35" s="395">
        <f>'11.F&amp;V Crop Production details'!E104</f>
        <v>0</v>
      </c>
      <c r="G35" s="395">
        <f>'11.F&amp;V Crop Production details'!F104</f>
        <v>0</v>
      </c>
      <c r="H35" s="395">
        <f>'11.F&amp;V Crop Production details'!G104</f>
        <v>0</v>
      </c>
      <c r="I35" s="395">
        <f>'11.F&amp;V Crop Production details'!H104</f>
        <v>0</v>
      </c>
    </row>
    <row r="36" spans="1:9" x14ac:dyDescent="0.2">
      <c r="A36" s="93" t="str">
        <f>'11.F&amp;V Crop Production details'!A105</f>
        <v>Chilli</v>
      </c>
      <c r="B36" s="394"/>
      <c r="C36" s="395">
        <f>'11.F&amp;V Crop Production details'!B105</f>
        <v>0</v>
      </c>
      <c r="D36" s="395">
        <f>'11.F&amp;V Crop Production details'!C105</f>
        <v>0</v>
      </c>
      <c r="E36" s="395">
        <f>'11.F&amp;V Crop Production details'!D105</f>
        <v>0</v>
      </c>
      <c r="F36" s="395">
        <f>'11.F&amp;V Crop Production details'!E105</f>
        <v>0</v>
      </c>
      <c r="G36" s="395">
        <f>'11.F&amp;V Crop Production details'!F105</f>
        <v>0</v>
      </c>
      <c r="H36" s="395">
        <f>'11.F&amp;V Crop Production details'!G105</f>
        <v>0</v>
      </c>
      <c r="I36" s="395">
        <f>'11.F&amp;V Crop Production details'!H105</f>
        <v>0</v>
      </c>
    </row>
    <row r="37" spans="1:9" x14ac:dyDescent="0.2">
      <c r="A37" s="93" t="str">
        <f>'11.F&amp;V Crop Production details'!A106</f>
        <v>Potato</v>
      </c>
      <c r="B37" s="394"/>
      <c r="C37" s="395">
        <f>'11.F&amp;V Crop Production details'!B106</f>
        <v>0</v>
      </c>
      <c r="D37" s="395">
        <f>'11.F&amp;V Crop Production details'!C106</f>
        <v>0</v>
      </c>
      <c r="E37" s="395">
        <f>'11.F&amp;V Crop Production details'!D106</f>
        <v>0</v>
      </c>
      <c r="F37" s="395">
        <f>'11.F&amp;V Crop Production details'!E106</f>
        <v>0</v>
      </c>
      <c r="G37" s="395">
        <f>'11.F&amp;V Crop Production details'!F106</f>
        <v>0</v>
      </c>
      <c r="H37" s="395">
        <f>'11.F&amp;V Crop Production details'!G106</f>
        <v>0</v>
      </c>
      <c r="I37" s="395">
        <f>'11.F&amp;V Crop Production details'!H106</f>
        <v>0</v>
      </c>
    </row>
    <row r="38" spans="1:9" x14ac:dyDescent="0.2">
      <c r="A38" s="93">
        <f>'11.F&amp;V Crop Production details'!A107</f>
        <v>0</v>
      </c>
      <c r="B38" s="394"/>
      <c r="C38" s="395">
        <f>'11.F&amp;V Crop Production details'!B107</f>
        <v>0</v>
      </c>
      <c r="D38" s="395">
        <f>'11.F&amp;V Crop Production details'!C107</f>
        <v>0</v>
      </c>
      <c r="E38" s="395">
        <f>'11.F&amp;V Crop Production details'!D107</f>
        <v>0</v>
      </c>
      <c r="F38" s="395">
        <f>'11.F&amp;V Crop Production details'!E107</f>
        <v>0</v>
      </c>
      <c r="G38" s="395">
        <f>'11.F&amp;V Crop Production details'!F107</f>
        <v>0</v>
      </c>
      <c r="H38" s="395">
        <f>'11.F&amp;V Crop Production details'!G107</f>
        <v>0</v>
      </c>
      <c r="I38" s="395">
        <f>'11.F&amp;V Crop Production details'!H107</f>
        <v>0</v>
      </c>
    </row>
    <row r="39" spans="1:9" x14ac:dyDescent="0.2">
      <c r="A39" s="93">
        <f>'11.F&amp;V Crop Production details'!A108</f>
        <v>0</v>
      </c>
      <c r="B39" s="394"/>
      <c r="C39" s="395">
        <f>'11.F&amp;V Crop Production details'!B108</f>
        <v>0</v>
      </c>
      <c r="D39" s="395">
        <f>'11.F&amp;V Crop Production details'!C108</f>
        <v>0</v>
      </c>
      <c r="E39" s="395">
        <f>'11.F&amp;V Crop Production details'!D108</f>
        <v>0</v>
      </c>
      <c r="F39" s="395">
        <f>'11.F&amp;V Crop Production details'!E108</f>
        <v>0</v>
      </c>
      <c r="G39" s="395">
        <f>'11.F&amp;V Crop Production details'!F108</f>
        <v>0</v>
      </c>
      <c r="H39" s="395">
        <f>'11.F&amp;V Crop Production details'!G108</f>
        <v>0</v>
      </c>
      <c r="I39" s="395">
        <f>'11.F&amp;V Crop Production details'!H108</f>
        <v>0</v>
      </c>
    </row>
    <row r="40" spans="1:9" x14ac:dyDescent="0.2">
      <c r="A40" s="93">
        <f>'11.F&amp;V Crop Production details'!A109</f>
        <v>0</v>
      </c>
      <c r="B40" s="394"/>
      <c r="C40" s="395">
        <f>'11.F&amp;V Crop Production details'!B109</f>
        <v>0</v>
      </c>
      <c r="D40" s="395">
        <f>'11.F&amp;V Crop Production details'!C109</f>
        <v>0</v>
      </c>
      <c r="E40" s="395">
        <f>'11.F&amp;V Crop Production details'!D109</f>
        <v>0</v>
      </c>
      <c r="F40" s="395">
        <f>'11.F&amp;V Crop Production details'!E109</f>
        <v>0</v>
      </c>
      <c r="G40" s="395">
        <f>'11.F&amp;V Crop Production details'!F109</f>
        <v>0</v>
      </c>
      <c r="H40" s="395">
        <f>'11.F&amp;V Crop Production details'!G109</f>
        <v>0</v>
      </c>
      <c r="I40" s="395">
        <f>'11.F&amp;V Crop Production details'!H109</f>
        <v>0</v>
      </c>
    </row>
    <row r="41" spans="1:9" x14ac:dyDescent="0.2">
      <c r="A41" s="93">
        <f>'11.F&amp;V Crop Production details'!A110</f>
        <v>0</v>
      </c>
      <c r="B41" s="394"/>
      <c r="C41" s="395">
        <f>'11.F&amp;V Crop Production details'!B110</f>
        <v>0</v>
      </c>
      <c r="D41" s="395">
        <f>'11.F&amp;V Crop Production details'!C110</f>
        <v>0</v>
      </c>
      <c r="E41" s="395">
        <f>'11.F&amp;V Crop Production details'!D110</f>
        <v>0</v>
      </c>
      <c r="F41" s="395">
        <f>'11.F&amp;V Crop Production details'!E110</f>
        <v>0</v>
      </c>
      <c r="G41" s="395">
        <f>'11.F&amp;V Crop Production details'!F110</f>
        <v>0</v>
      </c>
      <c r="H41" s="395">
        <f>'11.F&amp;V Crop Production details'!G110</f>
        <v>0</v>
      </c>
      <c r="I41" s="395">
        <f>'11.F&amp;V Crop Production details'!H110</f>
        <v>0</v>
      </c>
    </row>
    <row r="42" spans="1:9" x14ac:dyDescent="0.2">
      <c r="A42" s="93" t="str">
        <f>'11.F&amp;V Crop Production details'!A111</f>
        <v>Onion</v>
      </c>
      <c r="B42" s="394"/>
      <c r="C42" s="395">
        <f>'11.F&amp;V Crop Production details'!B111</f>
        <v>0</v>
      </c>
      <c r="D42" s="395">
        <f>'11.F&amp;V Crop Production details'!C111</f>
        <v>0</v>
      </c>
      <c r="E42" s="395">
        <f>'11.F&amp;V Crop Production details'!D111</f>
        <v>0</v>
      </c>
      <c r="F42" s="395">
        <f>'11.F&amp;V Crop Production details'!E111</f>
        <v>0</v>
      </c>
      <c r="G42" s="395">
        <f>'11.F&amp;V Crop Production details'!F111</f>
        <v>0</v>
      </c>
      <c r="H42" s="395">
        <f>'11.F&amp;V Crop Production details'!G111</f>
        <v>0</v>
      </c>
      <c r="I42" s="395">
        <f>'11.F&amp;V Crop Production details'!H111</f>
        <v>0</v>
      </c>
    </row>
    <row r="43" spans="1:9" x14ac:dyDescent="0.2">
      <c r="A43" s="93" t="str">
        <f>'11.F&amp;V Crop Production details'!A112</f>
        <v>Tomato</v>
      </c>
      <c r="B43" s="394"/>
      <c r="C43" s="395">
        <f>'11.F&amp;V Crop Production details'!B112</f>
        <v>0</v>
      </c>
      <c r="D43" s="395">
        <f>'11.F&amp;V Crop Production details'!C112</f>
        <v>0</v>
      </c>
      <c r="E43" s="395">
        <f>'11.F&amp;V Crop Production details'!D112</f>
        <v>0</v>
      </c>
      <c r="F43" s="395">
        <f>'11.F&amp;V Crop Production details'!E112</f>
        <v>0</v>
      </c>
      <c r="G43" s="395">
        <f>'11.F&amp;V Crop Production details'!F112</f>
        <v>0</v>
      </c>
      <c r="H43" s="395">
        <f>'11.F&amp;V Crop Production details'!G112</f>
        <v>0</v>
      </c>
      <c r="I43" s="395">
        <f>'11.F&amp;V Crop Production details'!H112</f>
        <v>0</v>
      </c>
    </row>
    <row r="44" spans="1:9" x14ac:dyDescent="0.2">
      <c r="A44" s="93" t="str">
        <f>'11.F&amp;V Crop Production details'!A113</f>
        <v>Okra</v>
      </c>
      <c r="B44" s="394"/>
      <c r="C44" s="395">
        <f>'11.F&amp;V Crop Production details'!B113</f>
        <v>0</v>
      </c>
      <c r="D44" s="395">
        <f>'11.F&amp;V Crop Production details'!C113</f>
        <v>0</v>
      </c>
      <c r="E44" s="395">
        <f>'11.F&amp;V Crop Production details'!D113</f>
        <v>0</v>
      </c>
      <c r="F44" s="395">
        <f>'11.F&amp;V Crop Production details'!E113</f>
        <v>0</v>
      </c>
      <c r="G44" s="395">
        <f>'11.F&amp;V Crop Production details'!F113</f>
        <v>0</v>
      </c>
      <c r="H44" s="395">
        <f>'11.F&amp;V Crop Production details'!G113</f>
        <v>0</v>
      </c>
      <c r="I44" s="395">
        <f>'11.F&amp;V Crop Production details'!H113</f>
        <v>0</v>
      </c>
    </row>
    <row r="45" spans="1:9" x14ac:dyDescent="0.2">
      <c r="A45" s="93" t="str">
        <f>'11.F&amp;V Crop Production details'!A114</f>
        <v>Chilli</v>
      </c>
      <c r="B45" s="394"/>
      <c r="C45" s="395">
        <f>'11.F&amp;V Crop Production details'!B114</f>
        <v>0</v>
      </c>
      <c r="D45" s="395">
        <f>'11.F&amp;V Crop Production details'!C114</f>
        <v>0</v>
      </c>
      <c r="E45" s="395">
        <f>'11.F&amp;V Crop Production details'!D114</f>
        <v>0</v>
      </c>
      <c r="F45" s="395">
        <f>'11.F&amp;V Crop Production details'!E114</f>
        <v>0</v>
      </c>
      <c r="G45" s="395">
        <f>'11.F&amp;V Crop Production details'!F114</f>
        <v>0</v>
      </c>
      <c r="H45" s="395">
        <f>'11.F&amp;V Crop Production details'!G114</f>
        <v>0</v>
      </c>
      <c r="I45" s="395">
        <f>'11.F&amp;V Crop Production details'!H114</f>
        <v>0</v>
      </c>
    </row>
    <row r="46" spans="1:9" x14ac:dyDescent="0.2">
      <c r="A46" s="93" t="str">
        <f>'11.F&amp;V Crop Production details'!A115</f>
        <v>Brinjal</v>
      </c>
      <c r="B46" s="394"/>
      <c r="C46" s="395">
        <f>'11.F&amp;V Crop Production details'!B115</f>
        <v>0</v>
      </c>
      <c r="D46" s="395">
        <f>'11.F&amp;V Crop Production details'!C115</f>
        <v>0</v>
      </c>
      <c r="E46" s="395">
        <f>'11.F&amp;V Crop Production details'!D115</f>
        <v>0</v>
      </c>
      <c r="F46" s="395">
        <f>'11.F&amp;V Crop Production details'!E115</f>
        <v>0</v>
      </c>
      <c r="G46" s="395">
        <f>'11.F&amp;V Crop Production details'!F115</f>
        <v>0</v>
      </c>
      <c r="H46" s="395">
        <f>'11.F&amp;V Crop Production details'!G115</f>
        <v>0</v>
      </c>
      <c r="I46" s="395">
        <f>'11.F&amp;V Crop Production details'!H115</f>
        <v>0</v>
      </c>
    </row>
    <row r="47" spans="1:9" x14ac:dyDescent="0.2">
      <c r="A47" s="93">
        <f>'11.F&amp;V Crop Production details'!A116</f>
        <v>0</v>
      </c>
      <c r="B47" s="394"/>
      <c r="C47" s="395">
        <f>'11.F&amp;V Crop Production details'!B116</f>
        <v>0</v>
      </c>
      <c r="D47" s="395">
        <f>'11.F&amp;V Crop Production details'!C116</f>
        <v>0</v>
      </c>
      <c r="E47" s="395">
        <f>'11.F&amp;V Crop Production details'!D116</f>
        <v>0</v>
      </c>
      <c r="F47" s="395">
        <f>'11.F&amp;V Crop Production details'!E116</f>
        <v>0</v>
      </c>
      <c r="G47" s="395">
        <f>'11.F&amp;V Crop Production details'!F116</f>
        <v>0</v>
      </c>
      <c r="H47" s="395">
        <f>'11.F&amp;V Crop Production details'!G116</f>
        <v>0</v>
      </c>
      <c r="I47" s="395">
        <f>'11.F&amp;V Crop Production details'!H116</f>
        <v>0</v>
      </c>
    </row>
    <row r="48" spans="1:9" x14ac:dyDescent="0.2">
      <c r="A48" s="93">
        <f>'11.F&amp;V Crop Production details'!A117</f>
        <v>0</v>
      </c>
      <c r="B48" s="394"/>
      <c r="C48" s="395">
        <f>'11.F&amp;V Crop Production details'!B117</f>
        <v>0</v>
      </c>
      <c r="D48" s="395">
        <f>'11.F&amp;V Crop Production details'!C117</f>
        <v>0</v>
      </c>
      <c r="E48" s="395">
        <f>'11.F&amp;V Crop Production details'!D117</f>
        <v>0</v>
      </c>
      <c r="F48" s="395">
        <f>'11.F&amp;V Crop Production details'!E117</f>
        <v>0</v>
      </c>
      <c r="G48" s="395">
        <f>'11.F&amp;V Crop Production details'!F117</f>
        <v>0</v>
      </c>
      <c r="H48" s="395">
        <f>'11.F&amp;V Crop Production details'!G117</f>
        <v>0</v>
      </c>
      <c r="I48" s="395">
        <f>'11.F&amp;V Crop Production details'!H117</f>
        <v>0</v>
      </c>
    </row>
    <row r="49" spans="1:9" x14ac:dyDescent="0.2">
      <c r="A49" s="93">
        <f>'11.F&amp;V Crop Production details'!A118</f>
        <v>0</v>
      </c>
      <c r="B49" s="394"/>
      <c r="C49" s="395">
        <f>'11.F&amp;V Crop Production details'!B118</f>
        <v>0</v>
      </c>
      <c r="D49" s="395">
        <f>'11.F&amp;V Crop Production details'!C118</f>
        <v>0</v>
      </c>
      <c r="E49" s="395">
        <f>'11.F&amp;V Crop Production details'!D118</f>
        <v>0</v>
      </c>
      <c r="F49" s="395">
        <f>'11.F&amp;V Crop Production details'!E118</f>
        <v>0</v>
      </c>
      <c r="G49" s="395">
        <f>'11.F&amp;V Crop Production details'!F118</f>
        <v>0</v>
      </c>
      <c r="H49" s="395">
        <f>'11.F&amp;V Crop Production details'!G118</f>
        <v>0</v>
      </c>
      <c r="I49" s="395">
        <f>'11.F&amp;V Crop Production details'!H118</f>
        <v>0</v>
      </c>
    </row>
    <row r="50" spans="1:9" x14ac:dyDescent="0.2">
      <c r="A50" s="93">
        <f>'11.F&amp;V Crop Production details'!A119</f>
        <v>0</v>
      </c>
      <c r="B50" s="394"/>
      <c r="C50" s="395">
        <f>'11.F&amp;V Crop Production details'!B119</f>
        <v>0</v>
      </c>
      <c r="D50" s="395">
        <f>'11.F&amp;V Crop Production details'!C119</f>
        <v>0</v>
      </c>
      <c r="E50" s="395">
        <f>'11.F&amp;V Crop Production details'!D119</f>
        <v>0</v>
      </c>
      <c r="F50" s="395">
        <f>'11.F&amp;V Crop Production details'!E119</f>
        <v>0</v>
      </c>
      <c r="G50" s="395">
        <f>'11.F&amp;V Crop Production details'!F119</f>
        <v>0</v>
      </c>
      <c r="H50" s="395">
        <f>'11.F&amp;V Crop Production details'!G119</f>
        <v>0</v>
      </c>
      <c r="I50" s="395">
        <f>'11.F&amp;V Crop Production details'!H119</f>
        <v>0</v>
      </c>
    </row>
    <row r="51" spans="1:9" x14ac:dyDescent="0.2">
      <c r="A51" s="93">
        <f>'11.F&amp;V Crop Production details'!A120</f>
        <v>0</v>
      </c>
      <c r="B51" s="394"/>
      <c r="C51" s="395">
        <f>'11.F&amp;V Crop Production details'!B120</f>
        <v>0</v>
      </c>
      <c r="D51" s="395">
        <f>'11.F&amp;V Crop Production details'!C120</f>
        <v>0</v>
      </c>
      <c r="E51" s="395">
        <f>'11.F&amp;V Crop Production details'!D120</f>
        <v>0</v>
      </c>
      <c r="F51" s="395">
        <f>'11.F&amp;V Crop Production details'!E120</f>
        <v>0</v>
      </c>
      <c r="G51" s="395">
        <f>'11.F&amp;V Crop Production details'!F120</f>
        <v>0</v>
      </c>
      <c r="H51" s="395">
        <f>'11.F&amp;V Crop Production details'!G120</f>
        <v>0</v>
      </c>
      <c r="I51" s="395">
        <f>'11.F&amp;V Crop Production details'!H120</f>
        <v>0</v>
      </c>
    </row>
    <row r="52" spans="1:9" x14ac:dyDescent="0.2">
      <c r="A52" s="93">
        <f>'11.F&amp;V Crop Production details'!A121</f>
        <v>0</v>
      </c>
      <c r="B52" s="394"/>
      <c r="C52" s="395">
        <f>'11.F&amp;V Crop Production details'!B121</f>
        <v>0</v>
      </c>
      <c r="D52" s="395">
        <f>'11.F&amp;V Crop Production details'!C121</f>
        <v>0</v>
      </c>
      <c r="E52" s="395">
        <f>'11.F&amp;V Crop Production details'!D121</f>
        <v>0</v>
      </c>
      <c r="F52" s="395">
        <f>'11.F&amp;V Crop Production details'!E121</f>
        <v>0</v>
      </c>
      <c r="G52" s="395">
        <f>'11.F&amp;V Crop Production details'!F121</f>
        <v>0</v>
      </c>
      <c r="H52" s="395">
        <f>'11.F&amp;V Crop Production details'!G121</f>
        <v>0</v>
      </c>
      <c r="I52" s="395">
        <f>'11.F&amp;V Crop Production details'!H121</f>
        <v>0</v>
      </c>
    </row>
    <row r="53" spans="1:9" x14ac:dyDescent="0.2">
      <c r="A53" s="93">
        <f>'11.F&amp;V Crop Production details'!A122</f>
        <v>0</v>
      </c>
      <c r="B53" s="394"/>
      <c r="C53" s="395">
        <f>'11.F&amp;V Crop Production details'!B122</f>
        <v>0</v>
      </c>
      <c r="D53" s="395">
        <f>'11.F&amp;V Crop Production details'!C122</f>
        <v>0</v>
      </c>
      <c r="E53" s="395">
        <f>'11.F&amp;V Crop Production details'!D122</f>
        <v>0</v>
      </c>
      <c r="F53" s="395">
        <f>'11.F&amp;V Crop Production details'!E122</f>
        <v>0</v>
      </c>
      <c r="G53" s="395">
        <f>'11.F&amp;V Crop Production details'!F122</f>
        <v>0</v>
      </c>
      <c r="H53" s="395">
        <f>'11.F&amp;V Crop Production details'!G122</f>
        <v>0</v>
      </c>
      <c r="I53" s="395">
        <f>'11.F&amp;V Crop Production details'!H122</f>
        <v>0</v>
      </c>
    </row>
    <row r="54" spans="1:9" x14ac:dyDescent="0.2">
      <c r="A54" s="93" t="str">
        <f>'11.F&amp;V Crop Production details'!A123</f>
        <v>Pomegranate</v>
      </c>
      <c r="B54" s="394"/>
      <c r="C54" s="395">
        <f>'11.F&amp;V Crop Production details'!B123</f>
        <v>0</v>
      </c>
      <c r="D54" s="395">
        <f>'11.F&amp;V Crop Production details'!C123</f>
        <v>0</v>
      </c>
      <c r="E54" s="395">
        <f>'11.F&amp;V Crop Production details'!D123</f>
        <v>0</v>
      </c>
      <c r="F54" s="395">
        <f>'11.F&amp;V Crop Production details'!E123</f>
        <v>0</v>
      </c>
      <c r="G54" s="395">
        <f>'11.F&amp;V Crop Production details'!F123</f>
        <v>0</v>
      </c>
      <c r="H54" s="395">
        <f>'11.F&amp;V Crop Production details'!G123</f>
        <v>0</v>
      </c>
      <c r="I54" s="395">
        <f>'11.F&amp;V Crop Production details'!H123</f>
        <v>0</v>
      </c>
    </row>
    <row r="55" spans="1:9" x14ac:dyDescent="0.2">
      <c r="A55" s="93" t="str">
        <f>'11.F&amp;V Crop Production details'!A124</f>
        <v>Custard Apple</v>
      </c>
      <c r="B55" s="394"/>
      <c r="C55" s="395">
        <f>'11.F&amp;V Crop Production details'!B124</f>
        <v>0</v>
      </c>
      <c r="D55" s="395">
        <f>'11.F&amp;V Crop Production details'!C124</f>
        <v>0</v>
      </c>
      <c r="E55" s="395">
        <f>'11.F&amp;V Crop Production details'!D124</f>
        <v>0</v>
      </c>
      <c r="F55" s="395">
        <f>'11.F&amp;V Crop Production details'!E124</f>
        <v>0</v>
      </c>
      <c r="G55" s="395">
        <f>'11.F&amp;V Crop Production details'!F124</f>
        <v>0</v>
      </c>
      <c r="H55" s="395">
        <f>'11.F&amp;V Crop Production details'!G124</f>
        <v>0</v>
      </c>
      <c r="I55" s="395">
        <f>'11.F&amp;V Crop Production details'!H124</f>
        <v>0</v>
      </c>
    </row>
    <row r="56" spans="1:9" x14ac:dyDescent="0.2">
      <c r="A56" s="93" t="str">
        <f>'11.F&amp;V Crop Production details'!A125</f>
        <v>Guava</v>
      </c>
      <c r="B56" s="394"/>
      <c r="C56" s="395">
        <f>'11.F&amp;V Crop Production details'!B125</f>
        <v>0</v>
      </c>
      <c r="D56" s="395">
        <f>'11.F&amp;V Crop Production details'!C125</f>
        <v>0</v>
      </c>
      <c r="E56" s="395">
        <f>'11.F&amp;V Crop Production details'!D125</f>
        <v>0</v>
      </c>
      <c r="F56" s="395">
        <f>'11.F&amp;V Crop Production details'!E125</f>
        <v>0</v>
      </c>
      <c r="G56" s="395">
        <f>'11.F&amp;V Crop Production details'!F125</f>
        <v>0</v>
      </c>
      <c r="H56" s="395">
        <f>'11.F&amp;V Crop Production details'!G125</f>
        <v>0</v>
      </c>
      <c r="I56" s="395">
        <f>'11.F&amp;V Crop Production details'!H125</f>
        <v>0</v>
      </c>
    </row>
    <row r="57" spans="1:9" x14ac:dyDescent="0.2">
      <c r="A57" s="93" t="str">
        <f>'11.F&amp;V Crop Production details'!A126</f>
        <v>Citrus</v>
      </c>
      <c r="B57" s="394"/>
      <c r="C57" s="395">
        <f>'11.F&amp;V Crop Production details'!B126</f>
        <v>0</v>
      </c>
      <c r="D57" s="395">
        <f>'11.F&amp;V Crop Production details'!C126</f>
        <v>0</v>
      </c>
      <c r="E57" s="395">
        <f>'11.F&amp;V Crop Production details'!D126</f>
        <v>0</v>
      </c>
      <c r="F57" s="395">
        <f>'11.F&amp;V Crop Production details'!E126</f>
        <v>0</v>
      </c>
      <c r="G57" s="395">
        <f>'11.F&amp;V Crop Production details'!F126</f>
        <v>0</v>
      </c>
      <c r="H57" s="395">
        <f>'11.F&amp;V Crop Production details'!G126</f>
        <v>0</v>
      </c>
      <c r="I57" s="395">
        <f>'11.F&amp;V Crop Production details'!H126</f>
        <v>0</v>
      </c>
    </row>
    <row r="58" spans="1:9" x14ac:dyDescent="0.2">
      <c r="A58" s="93"/>
      <c r="B58" s="394"/>
      <c r="C58" s="394"/>
      <c r="D58" s="394"/>
      <c r="E58" s="394"/>
      <c r="F58" s="394"/>
      <c r="G58" s="394"/>
      <c r="H58" s="394"/>
      <c r="I58" s="394"/>
    </row>
    <row r="59" spans="1:9" x14ac:dyDescent="0.2">
      <c r="A59" s="98" t="s">
        <v>182</v>
      </c>
      <c r="B59" s="93"/>
      <c r="C59" s="93"/>
      <c r="D59" s="93"/>
      <c r="E59" s="93"/>
      <c r="F59" s="93"/>
      <c r="G59" s="93"/>
      <c r="H59" s="93"/>
      <c r="I59" s="93"/>
    </row>
    <row r="60" spans="1:9" ht="40.5" customHeight="1" x14ac:dyDescent="0.2">
      <c r="A60" s="98" t="s">
        <v>689</v>
      </c>
      <c r="B60" s="234" t="s">
        <v>690</v>
      </c>
      <c r="C60" s="93"/>
      <c r="D60" s="93"/>
      <c r="E60" s="93"/>
      <c r="F60" s="93"/>
      <c r="G60" s="93"/>
      <c r="H60" s="93"/>
      <c r="I60" s="93"/>
    </row>
    <row r="61" spans="1:9" x14ac:dyDescent="0.2">
      <c r="A61" s="98" t="str">
        <f t="shared" ref="A61:A92" si="0">A8</f>
        <v>Kharif Crops</v>
      </c>
      <c r="B61" s="93"/>
      <c r="C61" s="93"/>
      <c r="D61" s="93"/>
      <c r="E61" s="93"/>
      <c r="F61" s="93"/>
      <c r="G61" s="93"/>
      <c r="H61" s="93"/>
      <c r="I61" s="93"/>
    </row>
    <row r="62" spans="1:9" x14ac:dyDescent="0.2">
      <c r="A62" s="93" t="str">
        <f t="shared" si="0"/>
        <v>Soybean</v>
      </c>
      <c r="B62" s="239">
        <v>40</v>
      </c>
      <c r="C62" s="140">
        <f>$B62*C9</f>
        <v>0</v>
      </c>
      <c r="D62" s="140">
        <f>$B62*D9</f>
        <v>0</v>
      </c>
      <c r="E62" s="140">
        <f t="shared" ref="E62:I62" si="1">$B62*E9</f>
        <v>0</v>
      </c>
      <c r="F62" s="140">
        <f t="shared" si="1"/>
        <v>0</v>
      </c>
      <c r="G62" s="140">
        <f t="shared" si="1"/>
        <v>0</v>
      </c>
      <c r="H62" s="140">
        <f t="shared" si="1"/>
        <v>0</v>
      </c>
      <c r="I62" s="140">
        <f t="shared" si="1"/>
        <v>0</v>
      </c>
    </row>
    <row r="63" spans="1:9" x14ac:dyDescent="0.2">
      <c r="A63" s="93" t="str">
        <f t="shared" si="0"/>
        <v>Red Gram/Tur</v>
      </c>
      <c r="B63" s="239">
        <v>5</v>
      </c>
      <c r="C63" s="140">
        <f>$B63*C10</f>
        <v>0</v>
      </c>
      <c r="D63" s="140">
        <f t="shared" ref="D63:I63" si="2">$B$63*D10</f>
        <v>0</v>
      </c>
      <c r="E63" s="140">
        <f t="shared" si="2"/>
        <v>0</v>
      </c>
      <c r="F63" s="140">
        <f t="shared" si="2"/>
        <v>0</v>
      </c>
      <c r="G63" s="140">
        <f t="shared" si="2"/>
        <v>0</v>
      </c>
      <c r="H63" s="140">
        <f t="shared" si="2"/>
        <v>0</v>
      </c>
      <c r="I63" s="140">
        <f t="shared" si="2"/>
        <v>0</v>
      </c>
    </row>
    <row r="64" spans="1:9" x14ac:dyDescent="0.2">
      <c r="A64" s="93" t="str">
        <f t="shared" si="0"/>
        <v>Paddy/Rice</v>
      </c>
      <c r="B64" s="239">
        <v>15</v>
      </c>
      <c r="C64" s="140">
        <f>$B64*C11</f>
        <v>0</v>
      </c>
      <c r="D64" s="140">
        <f t="shared" ref="D64:I64" si="3">$B$64*D11</f>
        <v>0</v>
      </c>
      <c r="E64" s="140">
        <f t="shared" si="3"/>
        <v>0</v>
      </c>
      <c r="F64" s="140">
        <f t="shared" si="3"/>
        <v>0</v>
      </c>
      <c r="G64" s="140">
        <f t="shared" si="3"/>
        <v>0</v>
      </c>
      <c r="H64" s="140">
        <f t="shared" si="3"/>
        <v>0</v>
      </c>
      <c r="I64" s="140">
        <f t="shared" si="3"/>
        <v>0</v>
      </c>
    </row>
    <row r="65" spans="1:9" x14ac:dyDescent="0.2">
      <c r="A65" s="93" t="str">
        <f t="shared" si="0"/>
        <v>Green Gram/ Moong</v>
      </c>
      <c r="B65" s="239">
        <v>15</v>
      </c>
      <c r="C65" s="140">
        <f>$B65*C12</f>
        <v>0</v>
      </c>
      <c r="D65" s="140">
        <f t="shared" ref="D65:I67" si="4">$B65*D12</f>
        <v>0</v>
      </c>
      <c r="E65" s="140">
        <f t="shared" si="4"/>
        <v>0</v>
      </c>
      <c r="F65" s="140">
        <f t="shared" si="4"/>
        <v>0</v>
      </c>
      <c r="G65" s="140">
        <f t="shared" si="4"/>
        <v>0</v>
      </c>
      <c r="H65" s="140">
        <f t="shared" si="4"/>
        <v>0</v>
      </c>
      <c r="I65" s="140">
        <f t="shared" si="4"/>
        <v>0</v>
      </c>
    </row>
    <row r="66" spans="1:9" x14ac:dyDescent="0.2">
      <c r="A66" s="93" t="str">
        <f t="shared" si="0"/>
        <v>Maize</v>
      </c>
      <c r="B66" s="239">
        <v>25</v>
      </c>
      <c r="C66" s="140">
        <f>$B66*C13</f>
        <v>0</v>
      </c>
      <c r="D66" s="140">
        <f t="shared" si="4"/>
        <v>0</v>
      </c>
      <c r="E66" s="140">
        <f t="shared" si="4"/>
        <v>0</v>
      </c>
      <c r="F66" s="140">
        <f t="shared" si="4"/>
        <v>0</v>
      </c>
      <c r="G66" s="140">
        <f t="shared" si="4"/>
        <v>0</v>
      </c>
      <c r="H66" s="140">
        <f t="shared" si="4"/>
        <v>0</v>
      </c>
      <c r="I66" s="140">
        <f t="shared" si="4"/>
        <v>0</v>
      </c>
    </row>
    <row r="67" spans="1:9" x14ac:dyDescent="0.2">
      <c r="A67" s="93" t="str">
        <f t="shared" si="0"/>
        <v>Black Gram/Udid</v>
      </c>
      <c r="B67" s="239">
        <v>15</v>
      </c>
      <c r="C67" s="140">
        <f>$B67*C14</f>
        <v>0</v>
      </c>
      <c r="D67" s="140">
        <f t="shared" si="4"/>
        <v>0</v>
      </c>
      <c r="E67" s="140">
        <f t="shared" si="4"/>
        <v>0</v>
      </c>
      <c r="F67" s="140">
        <f t="shared" si="4"/>
        <v>0</v>
      </c>
      <c r="G67" s="140">
        <f t="shared" si="4"/>
        <v>0</v>
      </c>
      <c r="H67" s="140">
        <f t="shared" si="4"/>
        <v>0</v>
      </c>
      <c r="I67" s="140">
        <f t="shared" si="4"/>
        <v>0</v>
      </c>
    </row>
    <row r="68" spans="1:9" x14ac:dyDescent="0.2">
      <c r="A68" s="93" t="str">
        <f t="shared" si="0"/>
        <v>Bajra</v>
      </c>
      <c r="B68" s="239">
        <v>5</v>
      </c>
      <c r="C68" s="140">
        <f t="shared" ref="C68:I68" si="5">$B68*C15</f>
        <v>0</v>
      </c>
      <c r="D68" s="140">
        <f t="shared" si="5"/>
        <v>0</v>
      </c>
      <c r="E68" s="140">
        <f t="shared" si="5"/>
        <v>0</v>
      </c>
      <c r="F68" s="140">
        <f t="shared" si="5"/>
        <v>0</v>
      </c>
      <c r="G68" s="140">
        <f t="shared" si="5"/>
        <v>0</v>
      </c>
      <c r="H68" s="140">
        <f t="shared" si="5"/>
        <v>0</v>
      </c>
      <c r="I68" s="140">
        <f t="shared" si="5"/>
        <v>0</v>
      </c>
    </row>
    <row r="69" spans="1:9" x14ac:dyDescent="0.2">
      <c r="A69" s="93" t="str">
        <f t="shared" si="0"/>
        <v>Jawar</v>
      </c>
      <c r="B69" s="239">
        <v>5</v>
      </c>
      <c r="C69" s="140">
        <f t="shared" ref="C69:I69" si="6">$B69*C16</f>
        <v>0</v>
      </c>
      <c r="D69" s="140">
        <f t="shared" si="6"/>
        <v>0</v>
      </c>
      <c r="E69" s="140">
        <f t="shared" si="6"/>
        <v>0</v>
      </c>
      <c r="F69" s="140">
        <f t="shared" si="6"/>
        <v>0</v>
      </c>
      <c r="G69" s="140">
        <f t="shared" si="6"/>
        <v>0</v>
      </c>
      <c r="H69" s="140">
        <f t="shared" si="6"/>
        <v>0</v>
      </c>
      <c r="I69" s="140">
        <f t="shared" si="6"/>
        <v>0</v>
      </c>
    </row>
    <row r="70" spans="1:9" x14ac:dyDescent="0.2">
      <c r="A70" s="98" t="str">
        <f t="shared" si="0"/>
        <v>Rabi Crop</v>
      </c>
      <c r="B70" s="239"/>
      <c r="C70" s="140"/>
      <c r="D70" s="140"/>
      <c r="E70" s="140"/>
      <c r="F70" s="140"/>
      <c r="G70" s="140"/>
      <c r="H70" s="140"/>
      <c r="I70" s="140"/>
    </row>
    <row r="71" spans="1:9" x14ac:dyDescent="0.2">
      <c r="A71" s="93" t="str">
        <f t="shared" si="0"/>
        <v>Wheat</v>
      </c>
      <c r="B71" s="239">
        <v>20</v>
      </c>
      <c r="C71" s="140">
        <f t="shared" ref="C71:I71" si="7">$B71*C18</f>
        <v>0</v>
      </c>
      <c r="D71" s="140">
        <f t="shared" si="7"/>
        <v>0</v>
      </c>
      <c r="E71" s="140">
        <f t="shared" si="7"/>
        <v>0</v>
      </c>
      <c r="F71" s="140">
        <f t="shared" si="7"/>
        <v>0</v>
      </c>
      <c r="G71" s="140">
        <f t="shared" si="7"/>
        <v>0</v>
      </c>
      <c r="H71" s="140">
        <f t="shared" si="7"/>
        <v>0</v>
      </c>
      <c r="I71" s="140">
        <f t="shared" si="7"/>
        <v>0</v>
      </c>
    </row>
    <row r="72" spans="1:9" x14ac:dyDescent="0.2">
      <c r="A72" s="93" t="str">
        <f t="shared" si="0"/>
        <v>Bengal Gram/Channa</v>
      </c>
      <c r="B72" s="239">
        <v>25</v>
      </c>
      <c r="C72" s="140">
        <f t="shared" ref="C72:I72" si="8">$B72*C19</f>
        <v>0</v>
      </c>
      <c r="D72" s="140">
        <f t="shared" si="8"/>
        <v>0</v>
      </c>
      <c r="E72" s="140">
        <f t="shared" si="8"/>
        <v>0</v>
      </c>
      <c r="F72" s="140">
        <f t="shared" si="8"/>
        <v>0</v>
      </c>
      <c r="G72" s="140">
        <f t="shared" si="8"/>
        <v>0</v>
      </c>
      <c r="H72" s="140">
        <f t="shared" si="8"/>
        <v>0</v>
      </c>
      <c r="I72" s="140">
        <f t="shared" si="8"/>
        <v>0</v>
      </c>
    </row>
    <row r="73" spans="1:9" x14ac:dyDescent="0.2">
      <c r="A73" s="93" t="str">
        <f t="shared" si="0"/>
        <v>Jawar</v>
      </c>
      <c r="B73" s="239">
        <v>5</v>
      </c>
      <c r="C73" s="140">
        <f t="shared" ref="C73:I73" si="9">$B73*C20</f>
        <v>0</v>
      </c>
      <c r="D73" s="140">
        <f t="shared" si="9"/>
        <v>0</v>
      </c>
      <c r="E73" s="140">
        <f t="shared" si="9"/>
        <v>0</v>
      </c>
      <c r="F73" s="140">
        <f t="shared" si="9"/>
        <v>0</v>
      </c>
      <c r="G73" s="140">
        <f t="shared" si="9"/>
        <v>0</v>
      </c>
      <c r="H73" s="140">
        <f t="shared" si="9"/>
        <v>0</v>
      </c>
      <c r="I73" s="140">
        <f t="shared" si="9"/>
        <v>0</v>
      </c>
    </row>
    <row r="74" spans="1:9" x14ac:dyDescent="0.2">
      <c r="A74" s="93" t="str">
        <f t="shared" si="0"/>
        <v>Maize</v>
      </c>
      <c r="B74" s="239">
        <v>20</v>
      </c>
      <c r="C74" s="140">
        <f t="shared" ref="C74:I74" si="10">$B74*C21</f>
        <v>0</v>
      </c>
      <c r="D74" s="140">
        <f t="shared" si="10"/>
        <v>0</v>
      </c>
      <c r="E74" s="140">
        <f t="shared" si="10"/>
        <v>0</v>
      </c>
      <c r="F74" s="140">
        <f t="shared" si="10"/>
        <v>0</v>
      </c>
      <c r="G74" s="140">
        <f t="shared" si="10"/>
        <v>0</v>
      </c>
      <c r="H74" s="140">
        <f t="shared" si="10"/>
        <v>0</v>
      </c>
      <c r="I74" s="140">
        <f t="shared" si="10"/>
        <v>0</v>
      </c>
    </row>
    <row r="75" spans="1:9" x14ac:dyDescent="0.2">
      <c r="A75" s="93" t="str">
        <f t="shared" si="0"/>
        <v>Safflower</v>
      </c>
      <c r="B75" s="239"/>
      <c r="C75" s="140">
        <f t="shared" ref="C75:I75" si="11">$B75*C22</f>
        <v>0</v>
      </c>
      <c r="D75" s="140">
        <f t="shared" si="11"/>
        <v>0</v>
      </c>
      <c r="E75" s="140">
        <f t="shared" si="11"/>
        <v>0</v>
      </c>
      <c r="F75" s="140">
        <f t="shared" si="11"/>
        <v>0</v>
      </c>
      <c r="G75" s="140">
        <f t="shared" si="11"/>
        <v>0</v>
      </c>
      <c r="H75" s="140">
        <f t="shared" si="11"/>
        <v>0</v>
      </c>
      <c r="I75" s="140">
        <f t="shared" si="11"/>
        <v>0</v>
      </c>
    </row>
    <row r="76" spans="1:9" x14ac:dyDescent="0.2">
      <c r="A76" s="93">
        <f t="shared" si="0"/>
        <v>0</v>
      </c>
      <c r="B76" s="239"/>
      <c r="C76" s="140">
        <f t="shared" ref="C76:I76" si="12">$B76*C23</f>
        <v>0</v>
      </c>
      <c r="D76" s="140">
        <f t="shared" si="12"/>
        <v>0</v>
      </c>
      <c r="E76" s="140">
        <f t="shared" si="12"/>
        <v>0</v>
      </c>
      <c r="F76" s="140">
        <f t="shared" si="12"/>
        <v>0</v>
      </c>
      <c r="G76" s="140">
        <f t="shared" si="12"/>
        <v>0</v>
      </c>
      <c r="H76" s="140">
        <f t="shared" si="12"/>
        <v>0</v>
      </c>
      <c r="I76" s="140">
        <f t="shared" si="12"/>
        <v>0</v>
      </c>
    </row>
    <row r="77" spans="1:9" x14ac:dyDescent="0.2">
      <c r="A77" s="93">
        <f t="shared" si="0"/>
        <v>0</v>
      </c>
      <c r="B77" s="239"/>
      <c r="C77" s="140">
        <f t="shared" ref="C77:I77" si="13">$B77*C24</f>
        <v>0</v>
      </c>
      <c r="D77" s="140">
        <f t="shared" si="13"/>
        <v>0</v>
      </c>
      <c r="E77" s="140">
        <f t="shared" si="13"/>
        <v>0</v>
      </c>
      <c r="F77" s="140">
        <f t="shared" si="13"/>
        <v>0</v>
      </c>
      <c r="G77" s="140">
        <f t="shared" si="13"/>
        <v>0</v>
      </c>
      <c r="H77" s="140">
        <f t="shared" si="13"/>
        <v>0</v>
      </c>
      <c r="I77" s="140">
        <f t="shared" si="13"/>
        <v>0</v>
      </c>
    </row>
    <row r="78" spans="1:9" x14ac:dyDescent="0.2">
      <c r="A78" s="93">
        <f t="shared" si="0"/>
        <v>0</v>
      </c>
      <c r="B78" s="239"/>
      <c r="C78" s="140">
        <f t="shared" ref="C78:I78" si="14">$B78*C25</f>
        <v>0</v>
      </c>
      <c r="D78" s="140">
        <f t="shared" si="14"/>
        <v>0</v>
      </c>
      <c r="E78" s="140">
        <f t="shared" si="14"/>
        <v>0</v>
      </c>
      <c r="F78" s="140">
        <f t="shared" si="14"/>
        <v>0</v>
      </c>
      <c r="G78" s="140">
        <f t="shared" si="14"/>
        <v>0</v>
      </c>
      <c r="H78" s="140">
        <f t="shared" si="14"/>
        <v>0</v>
      </c>
      <c r="I78" s="140">
        <f t="shared" si="14"/>
        <v>0</v>
      </c>
    </row>
    <row r="79" spans="1:9" x14ac:dyDescent="0.2">
      <c r="A79" s="98" t="str">
        <f t="shared" si="0"/>
        <v>Summer</v>
      </c>
      <c r="B79" s="239"/>
      <c r="C79" s="140"/>
      <c r="D79" s="140"/>
      <c r="E79" s="140"/>
      <c r="F79" s="140"/>
      <c r="G79" s="140"/>
      <c r="H79" s="140"/>
      <c r="I79" s="140"/>
    </row>
    <row r="80" spans="1:9" x14ac:dyDescent="0.2">
      <c r="A80" s="93" t="str">
        <f t="shared" si="0"/>
        <v>Groundnut</v>
      </c>
      <c r="B80" s="239"/>
      <c r="C80" s="140">
        <f t="shared" ref="C80:I80" si="15">$B80*C27</f>
        <v>0</v>
      </c>
      <c r="D80" s="140">
        <f t="shared" si="15"/>
        <v>0</v>
      </c>
      <c r="E80" s="140">
        <f t="shared" si="15"/>
        <v>0</v>
      </c>
      <c r="F80" s="140">
        <f t="shared" si="15"/>
        <v>0</v>
      </c>
      <c r="G80" s="140">
        <f t="shared" si="15"/>
        <v>0</v>
      </c>
      <c r="H80" s="140">
        <f t="shared" si="15"/>
        <v>0</v>
      </c>
      <c r="I80" s="140">
        <f t="shared" si="15"/>
        <v>0</v>
      </c>
    </row>
    <row r="81" spans="1:9" x14ac:dyDescent="0.2">
      <c r="A81" s="93">
        <f t="shared" si="0"/>
        <v>0</v>
      </c>
      <c r="B81" s="239"/>
      <c r="C81" s="140">
        <f t="shared" ref="C81:I81" si="16">$B81*C28</f>
        <v>0</v>
      </c>
      <c r="D81" s="140">
        <f t="shared" si="16"/>
        <v>0</v>
      </c>
      <c r="E81" s="140">
        <f t="shared" si="16"/>
        <v>0</v>
      </c>
      <c r="F81" s="140">
        <f t="shared" si="16"/>
        <v>0</v>
      </c>
      <c r="G81" s="140">
        <f t="shared" si="16"/>
        <v>0</v>
      </c>
      <c r="H81" s="140">
        <f t="shared" si="16"/>
        <v>0</v>
      </c>
      <c r="I81" s="140">
        <f t="shared" si="16"/>
        <v>0</v>
      </c>
    </row>
    <row r="82" spans="1:9" x14ac:dyDescent="0.2">
      <c r="A82" s="93">
        <f t="shared" si="0"/>
        <v>0</v>
      </c>
      <c r="B82" s="239"/>
      <c r="C82" s="140">
        <f t="shared" ref="C82:I82" si="17">$B82*C29</f>
        <v>0</v>
      </c>
      <c r="D82" s="140">
        <f t="shared" si="17"/>
        <v>0</v>
      </c>
      <c r="E82" s="140">
        <f t="shared" si="17"/>
        <v>0</v>
      </c>
      <c r="F82" s="140">
        <f t="shared" si="17"/>
        <v>0</v>
      </c>
      <c r="G82" s="140">
        <f t="shared" si="17"/>
        <v>0</v>
      </c>
      <c r="H82" s="140">
        <f t="shared" si="17"/>
        <v>0</v>
      </c>
      <c r="I82" s="140">
        <f t="shared" si="17"/>
        <v>0</v>
      </c>
    </row>
    <row r="83" spans="1:9" x14ac:dyDescent="0.2">
      <c r="A83" s="93">
        <f t="shared" si="0"/>
        <v>0</v>
      </c>
      <c r="B83" s="239"/>
      <c r="C83" s="140">
        <f t="shared" ref="C83:I83" si="18">$B83*C30</f>
        <v>0</v>
      </c>
      <c r="D83" s="140">
        <f t="shared" si="18"/>
        <v>0</v>
      </c>
      <c r="E83" s="140">
        <f t="shared" si="18"/>
        <v>0</v>
      </c>
      <c r="F83" s="140">
        <f t="shared" si="18"/>
        <v>0</v>
      </c>
      <c r="G83" s="140">
        <f t="shared" si="18"/>
        <v>0</v>
      </c>
      <c r="H83" s="140">
        <f t="shared" si="18"/>
        <v>0</v>
      </c>
      <c r="I83" s="140">
        <f t="shared" si="18"/>
        <v>0</v>
      </c>
    </row>
    <row r="84" spans="1:9" x14ac:dyDescent="0.2">
      <c r="A84" s="93">
        <f t="shared" si="0"/>
        <v>0</v>
      </c>
      <c r="B84" s="239"/>
      <c r="C84" s="140">
        <f t="shared" ref="C84:I84" si="19">$B84*C31</f>
        <v>0</v>
      </c>
      <c r="D84" s="140">
        <f t="shared" si="19"/>
        <v>0</v>
      </c>
      <c r="E84" s="140">
        <f t="shared" si="19"/>
        <v>0</v>
      </c>
      <c r="F84" s="140">
        <f t="shared" si="19"/>
        <v>0</v>
      </c>
      <c r="G84" s="140">
        <f t="shared" si="19"/>
        <v>0</v>
      </c>
      <c r="H84" s="140">
        <f t="shared" si="19"/>
        <v>0</v>
      </c>
      <c r="I84" s="140">
        <f t="shared" si="19"/>
        <v>0</v>
      </c>
    </row>
    <row r="85" spans="1:9" x14ac:dyDescent="0.2">
      <c r="A85" s="98" t="str">
        <f t="shared" si="0"/>
        <v>Fruit  &amp; Vegetables Crop Production Details</v>
      </c>
      <c r="B85" s="239"/>
      <c r="C85" s="140"/>
      <c r="D85" s="140"/>
      <c r="E85" s="140"/>
      <c r="F85" s="140"/>
      <c r="G85" s="140"/>
      <c r="H85" s="140"/>
      <c r="I85" s="140"/>
    </row>
    <row r="86" spans="1:9" x14ac:dyDescent="0.2">
      <c r="A86" s="93" t="str">
        <f t="shared" si="0"/>
        <v>Onion</v>
      </c>
      <c r="B86" s="239"/>
      <c r="C86" s="140">
        <f t="shared" ref="C86:I86" si="20">$B86*C33</f>
        <v>0</v>
      </c>
      <c r="D86" s="140">
        <f t="shared" si="20"/>
        <v>0</v>
      </c>
      <c r="E86" s="140">
        <f t="shared" si="20"/>
        <v>0</v>
      </c>
      <c r="F86" s="140">
        <f t="shared" si="20"/>
        <v>0</v>
      </c>
      <c r="G86" s="140">
        <f t="shared" si="20"/>
        <v>0</v>
      </c>
      <c r="H86" s="140">
        <f t="shared" si="20"/>
        <v>0</v>
      </c>
      <c r="I86" s="140">
        <f t="shared" si="20"/>
        <v>0</v>
      </c>
    </row>
    <row r="87" spans="1:9" x14ac:dyDescent="0.2">
      <c r="A87" s="93" t="str">
        <f t="shared" si="0"/>
        <v>Tomato</v>
      </c>
      <c r="B87" s="239"/>
      <c r="C87" s="140">
        <f t="shared" ref="C87:I87" si="21">$B87*C34</f>
        <v>0</v>
      </c>
      <c r="D87" s="140">
        <f t="shared" si="21"/>
        <v>0</v>
      </c>
      <c r="E87" s="140">
        <f t="shared" si="21"/>
        <v>0</v>
      </c>
      <c r="F87" s="140">
        <f t="shared" si="21"/>
        <v>0</v>
      </c>
      <c r="G87" s="140">
        <f t="shared" si="21"/>
        <v>0</v>
      </c>
      <c r="H87" s="140">
        <f t="shared" si="21"/>
        <v>0</v>
      </c>
      <c r="I87" s="140">
        <f t="shared" si="21"/>
        <v>0</v>
      </c>
    </row>
    <row r="88" spans="1:9" x14ac:dyDescent="0.2">
      <c r="A88" s="93" t="str">
        <f t="shared" si="0"/>
        <v>Okra</v>
      </c>
      <c r="B88" s="239"/>
      <c r="C88" s="140">
        <f t="shared" ref="C88:I88" si="22">$B88*C35</f>
        <v>0</v>
      </c>
      <c r="D88" s="140">
        <f t="shared" si="22"/>
        <v>0</v>
      </c>
      <c r="E88" s="140">
        <f t="shared" si="22"/>
        <v>0</v>
      </c>
      <c r="F88" s="140">
        <f t="shared" si="22"/>
        <v>0</v>
      </c>
      <c r="G88" s="140">
        <f t="shared" si="22"/>
        <v>0</v>
      </c>
      <c r="H88" s="140">
        <f t="shared" si="22"/>
        <v>0</v>
      </c>
      <c r="I88" s="140">
        <f t="shared" si="22"/>
        <v>0</v>
      </c>
    </row>
    <row r="89" spans="1:9" x14ac:dyDescent="0.2">
      <c r="A89" s="93" t="str">
        <f t="shared" si="0"/>
        <v>Chilli</v>
      </c>
      <c r="B89" s="239"/>
      <c r="C89" s="140">
        <f t="shared" ref="C89:I89" si="23">$B89*C36</f>
        <v>0</v>
      </c>
      <c r="D89" s="140">
        <f t="shared" si="23"/>
        <v>0</v>
      </c>
      <c r="E89" s="140">
        <f t="shared" si="23"/>
        <v>0</v>
      </c>
      <c r="F89" s="140">
        <f t="shared" si="23"/>
        <v>0</v>
      </c>
      <c r="G89" s="140">
        <f t="shared" si="23"/>
        <v>0</v>
      </c>
      <c r="H89" s="140">
        <f t="shared" si="23"/>
        <v>0</v>
      </c>
      <c r="I89" s="140">
        <f t="shared" si="23"/>
        <v>0</v>
      </c>
    </row>
    <row r="90" spans="1:9" x14ac:dyDescent="0.2">
      <c r="A90" s="93" t="str">
        <f t="shared" si="0"/>
        <v>Potato</v>
      </c>
      <c r="B90" s="239"/>
      <c r="C90" s="140">
        <f t="shared" ref="C90:I90" si="24">$B90*C37</f>
        <v>0</v>
      </c>
      <c r="D90" s="140">
        <f t="shared" si="24"/>
        <v>0</v>
      </c>
      <c r="E90" s="140">
        <f t="shared" si="24"/>
        <v>0</v>
      </c>
      <c r="F90" s="140">
        <f t="shared" si="24"/>
        <v>0</v>
      </c>
      <c r="G90" s="140">
        <f t="shared" si="24"/>
        <v>0</v>
      </c>
      <c r="H90" s="140">
        <f t="shared" si="24"/>
        <v>0</v>
      </c>
      <c r="I90" s="140">
        <f t="shared" si="24"/>
        <v>0</v>
      </c>
    </row>
    <row r="91" spans="1:9" x14ac:dyDescent="0.2">
      <c r="A91" s="93">
        <f t="shared" si="0"/>
        <v>0</v>
      </c>
      <c r="B91" s="239"/>
      <c r="C91" s="140">
        <f t="shared" ref="C91:I91" si="25">$B91*C38</f>
        <v>0</v>
      </c>
      <c r="D91" s="140">
        <f t="shared" si="25"/>
        <v>0</v>
      </c>
      <c r="E91" s="140">
        <f t="shared" si="25"/>
        <v>0</v>
      </c>
      <c r="F91" s="140">
        <f t="shared" si="25"/>
        <v>0</v>
      </c>
      <c r="G91" s="140">
        <f t="shared" si="25"/>
        <v>0</v>
      </c>
      <c r="H91" s="140">
        <f t="shared" si="25"/>
        <v>0</v>
      </c>
      <c r="I91" s="140">
        <f t="shared" si="25"/>
        <v>0</v>
      </c>
    </row>
    <row r="92" spans="1:9" x14ac:dyDescent="0.2">
      <c r="A92" s="93">
        <f t="shared" si="0"/>
        <v>0</v>
      </c>
      <c r="B92" s="239"/>
      <c r="C92" s="140">
        <f t="shared" ref="C92:I92" si="26">$B92*C39</f>
        <v>0</v>
      </c>
      <c r="D92" s="140">
        <f t="shared" si="26"/>
        <v>0</v>
      </c>
      <c r="E92" s="140">
        <f t="shared" si="26"/>
        <v>0</v>
      </c>
      <c r="F92" s="140">
        <f t="shared" si="26"/>
        <v>0</v>
      </c>
      <c r="G92" s="140">
        <f t="shared" si="26"/>
        <v>0</v>
      </c>
      <c r="H92" s="140">
        <f t="shared" si="26"/>
        <v>0</v>
      </c>
      <c r="I92" s="140">
        <f t="shared" si="26"/>
        <v>0</v>
      </c>
    </row>
    <row r="93" spans="1:9" x14ac:dyDescent="0.2">
      <c r="A93" s="93">
        <f t="shared" ref="A93:A110" si="27">A40</f>
        <v>0</v>
      </c>
      <c r="B93" s="239"/>
      <c r="C93" s="140">
        <f t="shared" ref="C93:I93" si="28">$B93*C40</f>
        <v>0</v>
      </c>
      <c r="D93" s="140">
        <f t="shared" si="28"/>
        <v>0</v>
      </c>
      <c r="E93" s="140">
        <f t="shared" si="28"/>
        <v>0</v>
      </c>
      <c r="F93" s="140">
        <f t="shared" si="28"/>
        <v>0</v>
      </c>
      <c r="G93" s="140">
        <f t="shared" si="28"/>
        <v>0</v>
      </c>
      <c r="H93" s="140">
        <f t="shared" si="28"/>
        <v>0</v>
      </c>
      <c r="I93" s="140">
        <f t="shared" si="28"/>
        <v>0</v>
      </c>
    </row>
    <row r="94" spans="1:9" x14ac:dyDescent="0.2">
      <c r="A94" s="93">
        <f t="shared" si="27"/>
        <v>0</v>
      </c>
      <c r="B94" s="239"/>
      <c r="C94" s="140">
        <f t="shared" ref="C94:I94" si="29">$B94*C41</f>
        <v>0</v>
      </c>
      <c r="D94" s="140">
        <f t="shared" si="29"/>
        <v>0</v>
      </c>
      <c r="E94" s="140">
        <f t="shared" si="29"/>
        <v>0</v>
      </c>
      <c r="F94" s="140">
        <f t="shared" si="29"/>
        <v>0</v>
      </c>
      <c r="G94" s="140">
        <f t="shared" si="29"/>
        <v>0</v>
      </c>
      <c r="H94" s="140">
        <f t="shared" si="29"/>
        <v>0</v>
      </c>
      <c r="I94" s="140">
        <f t="shared" si="29"/>
        <v>0</v>
      </c>
    </row>
    <row r="95" spans="1:9" x14ac:dyDescent="0.2">
      <c r="A95" s="93" t="str">
        <f t="shared" si="27"/>
        <v>Onion</v>
      </c>
      <c r="B95" s="239"/>
      <c r="C95" s="140">
        <f t="shared" ref="C95:I95" si="30">$B95*C42</f>
        <v>0</v>
      </c>
      <c r="D95" s="140">
        <f t="shared" si="30"/>
        <v>0</v>
      </c>
      <c r="E95" s="140">
        <f t="shared" si="30"/>
        <v>0</v>
      </c>
      <c r="F95" s="140">
        <f t="shared" si="30"/>
        <v>0</v>
      </c>
      <c r="G95" s="140">
        <f t="shared" si="30"/>
        <v>0</v>
      </c>
      <c r="H95" s="140">
        <f t="shared" si="30"/>
        <v>0</v>
      </c>
      <c r="I95" s="140">
        <f t="shared" si="30"/>
        <v>0</v>
      </c>
    </row>
    <row r="96" spans="1:9" x14ac:dyDescent="0.2">
      <c r="A96" s="93" t="str">
        <f t="shared" si="27"/>
        <v>Tomato</v>
      </c>
      <c r="B96" s="239"/>
      <c r="C96" s="140">
        <f t="shared" ref="C96:I96" si="31">$B96*C43</f>
        <v>0</v>
      </c>
      <c r="D96" s="140">
        <f t="shared" si="31"/>
        <v>0</v>
      </c>
      <c r="E96" s="140">
        <f t="shared" si="31"/>
        <v>0</v>
      </c>
      <c r="F96" s="140">
        <f t="shared" si="31"/>
        <v>0</v>
      </c>
      <c r="G96" s="140">
        <f t="shared" si="31"/>
        <v>0</v>
      </c>
      <c r="H96" s="140">
        <f t="shared" si="31"/>
        <v>0</v>
      </c>
      <c r="I96" s="140">
        <f t="shared" si="31"/>
        <v>0</v>
      </c>
    </row>
    <row r="97" spans="1:9" x14ac:dyDescent="0.2">
      <c r="A97" s="93" t="str">
        <f t="shared" si="27"/>
        <v>Okra</v>
      </c>
      <c r="B97" s="239"/>
      <c r="C97" s="140">
        <f t="shared" ref="C97:I97" si="32">$B97*C44</f>
        <v>0</v>
      </c>
      <c r="D97" s="140">
        <f t="shared" si="32"/>
        <v>0</v>
      </c>
      <c r="E97" s="140">
        <f t="shared" si="32"/>
        <v>0</v>
      </c>
      <c r="F97" s="140">
        <f t="shared" si="32"/>
        <v>0</v>
      </c>
      <c r="G97" s="140">
        <f t="shared" si="32"/>
        <v>0</v>
      </c>
      <c r="H97" s="140">
        <f t="shared" si="32"/>
        <v>0</v>
      </c>
      <c r="I97" s="140">
        <f t="shared" si="32"/>
        <v>0</v>
      </c>
    </row>
    <row r="98" spans="1:9" x14ac:dyDescent="0.2">
      <c r="A98" s="93" t="str">
        <f t="shared" si="27"/>
        <v>Chilli</v>
      </c>
      <c r="B98" s="239"/>
      <c r="C98" s="140">
        <f t="shared" ref="C98:I98" si="33">$B98*C45</f>
        <v>0</v>
      </c>
      <c r="D98" s="140">
        <f t="shared" si="33"/>
        <v>0</v>
      </c>
      <c r="E98" s="140">
        <f t="shared" si="33"/>
        <v>0</v>
      </c>
      <c r="F98" s="140">
        <f t="shared" si="33"/>
        <v>0</v>
      </c>
      <c r="G98" s="140">
        <f t="shared" si="33"/>
        <v>0</v>
      </c>
      <c r="H98" s="140">
        <f t="shared" si="33"/>
        <v>0</v>
      </c>
      <c r="I98" s="140">
        <f t="shared" si="33"/>
        <v>0</v>
      </c>
    </row>
    <row r="99" spans="1:9" x14ac:dyDescent="0.2">
      <c r="A99" s="93" t="str">
        <f t="shared" si="27"/>
        <v>Brinjal</v>
      </c>
      <c r="B99" s="239"/>
      <c r="C99" s="140">
        <f t="shared" ref="C99:I99" si="34">$B99*C46</f>
        <v>0</v>
      </c>
      <c r="D99" s="140">
        <f t="shared" si="34"/>
        <v>0</v>
      </c>
      <c r="E99" s="140">
        <f t="shared" si="34"/>
        <v>0</v>
      </c>
      <c r="F99" s="140">
        <f t="shared" si="34"/>
        <v>0</v>
      </c>
      <c r="G99" s="140">
        <f t="shared" si="34"/>
        <v>0</v>
      </c>
      <c r="H99" s="140">
        <f t="shared" si="34"/>
        <v>0</v>
      </c>
      <c r="I99" s="140">
        <f t="shared" si="34"/>
        <v>0</v>
      </c>
    </row>
    <row r="100" spans="1:9" x14ac:dyDescent="0.2">
      <c r="A100" s="93">
        <f t="shared" si="27"/>
        <v>0</v>
      </c>
      <c r="B100" s="239"/>
      <c r="C100" s="140">
        <f t="shared" ref="C100:I100" si="35">$B100*C47</f>
        <v>0</v>
      </c>
      <c r="D100" s="140">
        <f t="shared" si="35"/>
        <v>0</v>
      </c>
      <c r="E100" s="140">
        <f t="shared" si="35"/>
        <v>0</v>
      </c>
      <c r="F100" s="140">
        <f t="shared" si="35"/>
        <v>0</v>
      </c>
      <c r="G100" s="140">
        <f t="shared" si="35"/>
        <v>0</v>
      </c>
      <c r="H100" s="140">
        <f t="shared" si="35"/>
        <v>0</v>
      </c>
      <c r="I100" s="140">
        <f t="shared" si="35"/>
        <v>0</v>
      </c>
    </row>
    <row r="101" spans="1:9" x14ac:dyDescent="0.2">
      <c r="A101" s="93">
        <f t="shared" si="27"/>
        <v>0</v>
      </c>
      <c r="B101" s="239"/>
      <c r="C101" s="140">
        <f t="shared" ref="C101:I101" si="36">$B101*C48</f>
        <v>0</v>
      </c>
      <c r="D101" s="140">
        <f t="shared" si="36"/>
        <v>0</v>
      </c>
      <c r="E101" s="140">
        <f t="shared" si="36"/>
        <v>0</v>
      </c>
      <c r="F101" s="140">
        <f t="shared" si="36"/>
        <v>0</v>
      </c>
      <c r="G101" s="140">
        <f t="shared" si="36"/>
        <v>0</v>
      </c>
      <c r="H101" s="140">
        <f t="shared" si="36"/>
        <v>0</v>
      </c>
      <c r="I101" s="140">
        <f t="shared" si="36"/>
        <v>0</v>
      </c>
    </row>
    <row r="102" spans="1:9" x14ac:dyDescent="0.2">
      <c r="A102" s="93">
        <f t="shared" si="27"/>
        <v>0</v>
      </c>
      <c r="B102" s="239"/>
      <c r="C102" s="140">
        <f t="shared" ref="C102:I102" si="37">$B102*C49</f>
        <v>0</v>
      </c>
      <c r="D102" s="140">
        <f t="shared" si="37"/>
        <v>0</v>
      </c>
      <c r="E102" s="140">
        <f t="shared" si="37"/>
        <v>0</v>
      </c>
      <c r="F102" s="140">
        <f t="shared" si="37"/>
        <v>0</v>
      </c>
      <c r="G102" s="140">
        <f t="shared" si="37"/>
        <v>0</v>
      </c>
      <c r="H102" s="140">
        <f t="shared" si="37"/>
        <v>0</v>
      </c>
      <c r="I102" s="140">
        <f t="shared" si="37"/>
        <v>0</v>
      </c>
    </row>
    <row r="103" spans="1:9" x14ac:dyDescent="0.2">
      <c r="A103" s="93">
        <f t="shared" si="27"/>
        <v>0</v>
      </c>
      <c r="B103" s="239"/>
      <c r="C103" s="140">
        <f t="shared" ref="C103:I103" si="38">$B103*C50</f>
        <v>0</v>
      </c>
      <c r="D103" s="140">
        <f t="shared" si="38"/>
        <v>0</v>
      </c>
      <c r="E103" s="140">
        <f t="shared" si="38"/>
        <v>0</v>
      </c>
      <c r="F103" s="140">
        <f t="shared" si="38"/>
        <v>0</v>
      </c>
      <c r="G103" s="140">
        <f t="shared" si="38"/>
        <v>0</v>
      </c>
      <c r="H103" s="140">
        <f t="shared" si="38"/>
        <v>0</v>
      </c>
      <c r="I103" s="140">
        <f t="shared" si="38"/>
        <v>0</v>
      </c>
    </row>
    <row r="104" spans="1:9" x14ac:dyDescent="0.2">
      <c r="A104" s="93">
        <f t="shared" si="27"/>
        <v>0</v>
      </c>
      <c r="B104" s="239"/>
      <c r="C104" s="140">
        <f t="shared" ref="C104:I104" si="39">$B104*C51</f>
        <v>0</v>
      </c>
      <c r="D104" s="140">
        <f t="shared" si="39"/>
        <v>0</v>
      </c>
      <c r="E104" s="140">
        <f t="shared" si="39"/>
        <v>0</v>
      </c>
      <c r="F104" s="140">
        <f t="shared" si="39"/>
        <v>0</v>
      </c>
      <c r="G104" s="140">
        <f t="shared" si="39"/>
        <v>0</v>
      </c>
      <c r="H104" s="140">
        <f t="shared" si="39"/>
        <v>0</v>
      </c>
      <c r="I104" s="140">
        <f t="shared" si="39"/>
        <v>0</v>
      </c>
    </row>
    <row r="105" spans="1:9" x14ac:dyDescent="0.2">
      <c r="A105" s="93">
        <f t="shared" si="27"/>
        <v>0</v>
      </c>
      <c r="B105" s="239"/>
      <c r="C105" s="140">
        <f t="shared" ref="C105:I105" si="40">$B105*C52</f>
        <v>0</v>
      </c>
      <c r="D105" s="140">
        <f t="shared" si="40"/>
        <v>0</v>
      </c>
      <c r="E105" s="140">
        <f t="shared" si="40"/>
        <v>0</v>
      </c>
      <c r="F105" s="140">
        <f t="shared" si="40"/>
        <v>0</v>
      </c>
      <c r="G105" s="140">
        <f t="shared" si="40"/>
        <v>0</v>
      </c>
      <c r="H105" s="140">
        <f t="shared" si="40"/>
        <v>0</v>
      </c>
      <c r="I105" s="140">
        <f t="shared" si="40"/>
        <v>0</v>
      </c>
    </row>
    <row r="106" spans="1:9" x14ac:dyDescent="0.2">
      <c r="A106" s="93">
        <f t="shared" si="27"/>
        <v>0</v>
      </c>
      <c r="B106" s="239"/>
      <c r="C106" s="140">
        <f t="shared" ref="C106:I106" si="41">$B106*C53</f>
        <v>0</v>
      </c>
      <c r="D106" s="140">
        <f t="shared" si="41"/>
        <v>0</v>
      </c>
      <c r="E106" s="140">
        <f t="shared" si="41"/>
        <v>0</v>
      </c>
      <c r="F106" s="140">
        <f t="shared" si="41"/>
        <v>0</v>
      </c>
      <c r="G106" s="140">
        <f t="shared" si="41"/>
        <v>0</v>
      </c>
      <c r="H106" s="140">
        <f t="shared" si="41"/>
        <v>0</v>
      </c>
      <c r="I106" s="140">
        <f t="shared" si="41"/>
        <v>0</v>
      </c>
    </row>
    <row r="107" spans="1:9" x14ac:dyDescent="0.2">
      <c r="A107" s="93" t="str">
        <f t="shared" si="27"/>
        <v>Pomegranate</v>
      </c>
      <c r="B107" s="239"/>
      <c r="C107" s="140">
        <f t="shared" ref="C107:I107" si="42">$B107*C54</f>
        <v>0</v>
      </c>
      <c r="D107" s="140">
        <f t="shared" si="42"/>
        <v>0</v>
      </c>
      <c r="E107" s="140">
        <f t="shared" si="42"/>
        <v>0</v>
      </c>
      <c r="F107" s="140">
        <f t="shared" si="42"/>
        <v>0</v>
      </c>
      <c r="G107" s="140">
        <f t="shared" si="42"/>
        <v>0</v>
      </c>
      <c r="H107" s="140">
        <f t="shared" si="42"/>
        <v>0</v>
      </c>
      <c r="I107" s="140">
        <f t="shared" si="42"/>
        <v>0</v>
      </c>
    </row>
    <row r="108" spans="1:9" x14ac:dyDescent="0.2">
      <c r="A108" s="93" t="str">
        <f t="shared" si="27"/>
        <v>Custard Apple</v>
      </c>
      <c r="B108" s="239"/>
      <c r="C108" s="140">
        <f t="shared" ref="C108:I108" si="43">$B108*C55</f>
        <v>0</v>
      </c>
      <c r="D108" s="140">
        <f t="shared" si="43"/>
        <v>0</v>
      </c>
      <c r="E108" s="140">
        <f t="shared" si="43"/>
        <v>0</v>
      </c>
      <c r="F108" s="140">
        <f t="shared" si="43"/>
        <v>0</v>
      </c>
      <c r="G108" s="140">
        <f t="shared" si="43"/>
        <v>0</v>
      </c>
      <c r="H108" s="140">
        <f t="shared" si="43"/>
        <v>0</v>
      </c>
      <c r="I108" s="140">
        <f t="shared" si="43"/>
        <v>0</v>
      </c>
    </row>
    <row r="109" spans="1:9" x14ac:dyDescent="0.2">
      <c r="A109" s="93" t="str">
        <f t="shared" si="27"/>
        <v>Guava</v>
      </c>
      <c r="B109" s="239"/>
      <c r="C109" s="140">
        <f t="shared" ref="C109:I109" si="44">$B109*C56</f>
        <v>0</v>
      </c>
      <c r="D109" s="140">
        <f t="shared" si="44"/>
        <v>0</v>
      </c>
      <c r="E109" s="140">
        <f t="shared" si="44"/>
        <v>0</v>
      </c>
      <c r="F109" s="140">
        <f t="shared" si="44"/>
        <v>0</v>
      </c>
      <c r="G109" s="140">
        <f t="shared" si="44"/>
        <v>0</v>
      </c>
      <c r="H109" s="140">
        <f t="shared" si="44"/>
        <v>0</v>
      </c>
      <c r="I109" s="140">
        <f t="shared" si="44"/>
        <v>0</v>
      </c>
    </row>
    <row r="110" spans="1:9" x14ac:dyDescent="0.2">
      <c r="A110" s="93" t="str">
        <f t="shared" si="27"/>
        <v>Citrus</v>
      </c>
      <c r="B110" s="239"/>
      <c r="C110" s="140">
        <f t="shared" ref="C110:I110" si="45">$B110*C57</f>
        <v>0</v>
      </c>
      <c r="D110" s="140">
        <f t="shared" si="45"/>
        <v>0</v>
      </c>
      <c r="E110" s="140">
        <f t="shared" si="45"/>
        <v>0</v>
      </c>
      <c r="F110" s="140">
        <f t="shared" si="45"/>
        <v>0</v>
      </c>
      <c r="G110" s="140">
        <f t="shared" si="45"/>
        <v>0</v>
      </c>
      <c r="H110" s="140">
        <f t="shared" si="45"/>
        <v>0</v>
      </c>
      <c r="I110" s="140">
        <f t="shared" si="45"/>
        <v>0</v>
      </c>
    </row>
    <row r="111" spans="1:9" x14ac:dyDescent="0.2">
      <c r="A111" s="93"/>
      <c r="B111" s="239"/>
      <c r="C111" s="140"/>
      <c r="D111" s="140"/>
      <c r="E111" s="140"/>
      <c r="F111" s="140"/>
      <c r="G111" s="140"/>
      <c r="H111" s="140"/>
      <c r="I111" s="140"/>
    </row>
    <row r="112" spans="1:9" x14ac:dyDescent="0.2">
      <c r="A112" s="93"/>
      <c r="B112" s="239"/>
      <c r="C112" s="140"/>
      <c r="D112" s="140"/>
      <c r="E112" s="140"/>
      <c r="F112" s="140"/>
      <c r="G112" s="140"/>
      <c r="H112" s="140"/>
      <c r="I112" s="140"/>
    </row>
    <row r="113" spans="1:10" x14ac:dyDescent="0.2">
      <c r="A113" s="98" t="s">
        <v>692</v>
      </c>
      <c r="B113" s="93" t="s">
        <v>691</v>
      </c>
      <c r="C113" s="93"/>
      <c r="D113" s="93"/>
      <c r="E113" s="93"/>
      <c r="F113" s="93"/>
      <c r="G113" s="93"/>
      <c r="H113" s="93"/>
      <c r="I113" s="93"/>
    </row>
    <row r="114" spans="1:10" x14ac:dyDescent="0.2">
      <c r="A114" s="93" t="s">
        <v>394</v>
      </c>
      <c r="B114" s="239">
        <v>100</v>
      </c>
      <c r="C114" s="140">
        <f>SUM(C62:C110)*$B$114</f>
        <v>0</v>
      </c>
      <c r="D114" s="140">
        <f t="shared" ref="D114:I114" si="46">SUM(D62:D110)*$B$114</f>
        <v>0</v>
      </c>
      <c r="E114" s="140">
        <f t="shared" si="46"/>
        <v>0</v>
      </c>
      <c r="F114" s="140">
        <f t="shared" si="46"/>
        <v>0</v>
      </c>
      <c r="G114" s="140">
        <f t="shared" si="46"/>
        <v>0</v>
      </c>
      <c r="H114" s="140">
        <f t="shared" si="46"/>
        <v>0</v>
      </c>
      <c r="I114" s="140">
        <f t="shared" si="46"/>
        <v>0</v>
      </c>
    </row>
    <row r="115" spans="1:10" x14ac:dyDescent="0.2">
      <c r="A115" s="93" t="s">
        <v>178</v>
      </c>
      <c r="B115" s="239">
        <v>30</v>
      </c>
      <c r="C115" s="140">
        <f>SUM(C62:C110)*$B$115</f>
        <v>0</v>
      </c>
      <c r="D115" s="140">
        <f t="shared" ref="D115:I115" si="47">SUM(D62:D110)*$B$115</f>
        <v>0</v>
      </c>
      <c r="E115" s="140">
        <f t="shared" si="47"/>
        <v>0</v>
      </c>
      <c r="F115" s="140">
        <f t="shared" si="47"/>
        <v>0</v>
      </c>
      <c r="G115" s="140">
        <f t="shared" si="47"/>
        <v>0</v>
      </c>
      <c r="H115" s="140">
        <f t="shared" si="47"/>
        <v>0</v>
      </c>
      <c r="I115" s="140">
        <f t="shared" si="47"/>
        <v>0</v>
      </c>
    </row>
    <row r="116" spans="1:10" x14ac:dyDescent="0.2">
      <c r="A116" s="93" t="s">
        <v>180</v>
      </c>
      <c r="B116" s="239">
        <v>30</v>
      </c>
      <c r="C116" s="140">
        <f>SUM(C62:C110)*$B$116</f>
        <v>0</v>
      </c>
      <c r="D116" s="140">
        <f t="shared" ref="D116:I116" si="48">SUM(D62:D110)*$B$116</f>
        <v>0</v>
      </c>
      <c r="E116" s="140">
        <f t="shared" si="48"/>
        <v>0</v>
      </c>
      <c r="F116" s="140">
        <f t="shared" si="48"/>
        <v>0</v>
      </c>
      <c r="G116" s="140">
        <f t="shared" si="48"/>
        <v>0</v>
      </c>
      <c r="H116" s="140">
        <f t="shared" si="48"/>
        <v>0</v>
      </c>
      <c r="I116" s="140">
        <f t="shared" si="48"/>
        <v>0</v>
      </c>
    </row>
    <row r="117" spans="1:10" x14ac:dyDescent="0.2">
      <c r="A117" s="98" t="s">
        <v>693</v>
      </c>
      <c r="B117" s="239"/>
      <c r="C117" s="93"/>
      <c r="D117" s="93"/>
      <c r="E117" s="93"/>
      <c r="F117" s="93"/>
      <c r="G117" s="93"/>
      <c r="H117" s="93"/>
      <c r="I117" s="93"/>
    </row>
    <row r="118" spans="1:10" x14ac:dyDescent="0.2">
      <c r="A118" s="93" t="s">
        <v>183</v>
      </c>
      <c r="B118" s="239">
        <v>0.2</v>
      </c>
      <c r="C118" s="140">
        <f>SUM(C62:C110)*$B$118</f>
        <v>0</v>
      </c>
      <c r="D118" s="140">
        <f t="shared" ref="D118:I118" si="49">SUM(D62:D110)*$B$118</f>
        <v>0</v>
      </c>
      <c r="E118" s="140">
        <f t="shared" si="49"/>
        <v>0</v>
      </c>
      <c r="F118" s="140">
        <f t="shared" si="49"/>
        <v>0</v>
      </c>
      <c r="G118" s="140">
        <f t="shared" si="49"/>
        <v>0</v>
      </c>
      <c r="H118" s="140">
        <f t="shared" si="49"/>
        <v>0</v>
      </c>
      <c r="I118" s="140">
        <f t="shared" si="49"/>
        <v>0</v>
      </c>
    </row>
    <row r="119" spans="1:10" x14ac:dyDescent="0.2">
      <c r="A119" s="93" t="s">
        <v>184</v>
      </c>
      <c r="B119" s="239">
        <v>0.5</v>
      </c>
      <c r="C119" s="140">
        <f>SUM(C62:C110)*$B$119</f>
        <v>0</v>
      </c>
      <c r="D119" s="140">
        <f t="shared" ref="D119:I119" si="50">SUM(D62:D110)*$B$119</f>
        <v>0</v>
      </c>
      <c r="E119" s="140">
        <f t="shared" si="50"/>
        <v>0</v>
      </c>
      <c r="F119" s="140">
        <f t="shared" si="50"/>
        <v>0</v>
      </c>
      <c r="G119" s="140">
        <f t="shared" si="50"/>
        <v>0</v>
      </c>
      <c r="H119" s="140">
        <f t="shared" si="50"/>
        <v>0</v>
      </c>
      <c r="I119" s="140">
        <f t="shared" si="50"/>
        <v>0</v>
      </c>
    </row>
    <row r="122" spans="1:10" ht="18.75" x14ac:dyDescent="0.25">
      <c r="A122" s="427" t="s">
        <v>586</v>
      </c>
      <c r="B122" s="427"/>
      <c r="C122" s="427"/>
      <c r="D122" s="427"/>
      <c r="E122" s="427"/>
      <c r="F122" s="427"/>
      <c r="G122" s="427"/>
      <c r="H122" s="427"/>
      <c r="I122" s="427"/>
      <c r="J122" s="427"/>
    </row>
    <row r="123" spans="1:10" x14ac:dyDescent="0.2">
      <c r="A123" s="135"/>
      <c r="B123" s="135"/>
      <c r="C123" s="135"/>
      <c r="D123" s="135"/>
      <c r="E123" s="135"/>
      <c r="F123" s="135"/>
      <c r="G123" s="135"/>
      <c r="H123" s="135"/>
    </row>
    <row r="124" spans="1:10" x14ac:dyDescent="0.2">
      <c r="A124" s="135"/>
      <c r="B124" s="135"/>
      <c r="C124" s="135"/>
      <c r="D124" s="136">
        <v>1</v>
      </c>
      <c r="E124" s="137">
        <f>(D124*5%)+D124</f>
        <v>1.05</v>
      </c>
      <c r="F124" s="137">
        <f t="shared" ref="F124:J124" si="51">(E124*5%)+E124</f>
        <v>1.1025</v>
      </c>
      <c r="G124" s="137">
        <f t="shared" si="51"/>
        <v>1.1576250000000001</v>
      </c>
      <c r="H124" s="137">
        <f t="shared" si="51"/>
        <v>1.2155062500000002</v>
      </c>
      <c r="I124" s="137">
        <f t="shared" si="51"/>
        <v>1.2762815625000004</v>
      </c>
      <c r="J124" s="137">
        <f t="shared" si="51"/>
        <v>1.3400956406250004</v>
      </c>
    </row>
    <row r="126" spans="1:10" x14ac:dyDescent="0.2">
      <c r="A126" s="126" t="s">
        <v>0</v>
      </c>
      <c r="B126" s="126" t="s">
        <v>132</v>
      </c>
      <c r="C126" s="126" t="s">
        <v>152</v>
      </c>
      <c r="D126" s="127" t="s">
        <v>2</v>
      </c>
      <c r="E126" s="127" t="s">
        <v>3</v>
      </c>
      <c r="F126" s="127" t="s">
        <v>4</v>
      </c>
      <c r="G126" s="127" t="s">
        <v>5</v>
      </c>
      <c r="H126" s="127" t="s">
        <v>6</v>
      </c>
      <c r="I126" s="127" t="s">
        <v>168</v>
      </c>
      <c r="J126" s="127" t="s">
        <v>167</v>
      </c>
    </row>
    <row r="127" spans="1:10" x14ac:dyDescent="0.2">
      <c r="A127" s="98" t="s">
        <v>696</v>
      </c>
      <c r="B127" s="93"/>
      <c r="C127" s="93"/>
      <c r="D127" s="93"/>
      <c r="E127" s="93"/>
      <c r="F127" s="93"/>
      <c r="G127" s="93"/>
      <c r="H127" s="93"/>
      <c r="I127" s="93"/>
      <c r="J127" s="93"/>
    </row>
    <row r="128" spans="1:10" x14ac:dyDescent="0.2">
      <c r="A128" s="93" t="s">
        <v>283</v>
      </c>
      <c r="B128" s="93"/>
      <c r="C128" s="93"/>
      <c r="D128" s="93"/>
      <c r="E128" s="93"/>
      <c r="F128" s="93"/>
      <c r="G128" s="93"/>
      <c r="H128" s="93"/>
      <c r="I128" s="93"/>
      <c r="J128" s="93"/>
    </row>
    <row r="129" spans="1:21" x14ac:dyDescent="0.2">
      <c r="A129" s="98" t="str">
        <f t="shared" ref="A129:A160" si="52">A8</f>
        <v>Kharif Crops</v>
      </c>
      <c r="B129" s="93"/>
      <c r="C129" s="93" t="s">
        <v>694</v>
      </c>
      <c r="D129" s="93"/>
      <c r="E129" s="93"/>
      <c r="F129" s="93"/>
      <c r="G129" s="93"/>
      <c r="H129" s="93"/>
      <c r="I129" s="93"/>
      <c r="J129" s="93"/>
    </row>
    <row r="130" spans="1:21" x14ac:dyDescent="0.2">
      <c r="A130" s="93" t="str">
        <f t="shared" si="52"/>
        <v>Soybean</v>
      </c>
      <c r="B130" s="93"/>
      <c r="C130" s="239">
        <v>90</v>
      </c>
      <c r="D130" s="95">
        <f>(C62*(1-'5.Closing Stock &amp; W Capital'!$D$15))*$C$130*D$124</f>
        <v>0</v>
      </c>
      <c r="E130" s="95">
        <f>((D62*(1-'5.Closing Stock &amp; W Capital'!$D$15))+(C62*'5.Closing Stock &amp; W Capital'!$D$15))*$C$130*E$124</f>
        <v>0</v>
      </c>
      <c r="F130" s="95">
        <f>((E62*(1-'5.Closing Stock &amp; W Capital'!$D$15))+(D62*'5.Closing Stock &amp; W Capital'!$D$15))*$C$130*F$124</f>
        <v>0</v>
      </c>
      <c r="G130" s="95">
        <f>((F62*(1-'5.Closing Stock &amp; W Capital'!$D$15))+(E62*'5.Closing Stock &amp; W Capital'!$D$15))*$C$130*G$124</f>
        <v>0</v>
      </c>
      <c r="H130" s="95">
        <f>((G62*(1-'5.Closing Stock &amp; W Capital'!$D$15))+(F62*'5.Closing Stock &amp; W Capital'!$D$15))*$C$130*H$124</f>
        <v>0</v>
      </c>
      <c r="I130" s="95">
        <f>((H62*(1-'5.Closing Stock &amp; W Capital'!$D$15))+(G62*'5.Closing Stock &amp; W Capital'!$D$15))*$C$130*I$124</f>
        <v>0</v>
      </c>
      <c r="J130" s="95">
        <f>((I62*(1-'5.Closing Stock &amp; W Capital'!$D$15))+(H62*'5.Closing Stock &amp; W Capital'!$D$15))*$C$130*J$124</f>
        <v>0</v>
      </c>
      <c r="K130" s="138"/>
    </row>
    <row r="131" spans="1:21" x14ac:dyDescent="0.2">
      <c r="A131" s="93" t="str">
        <f t="shared" si="52"/>
        <v>Red Gram/Tur</v>
      </c>
      <c r="B131" s="93"/>
      <c r="C131" s="388">
        <v>80</v>
      </c>
      <c r="D131" s="95">
        <f>(C63*(1-'5.Closing Stock &amp; W Capital'!$D$15))*$C$131*D$124</f>
        <v>0</v>
      </c>
      <c r="E131" s="95">
        <f>((D63*(1-'5.Closing Stock &amp; W Capital'!$D$15))+(C63*'5.Closing Stock &amp; W Capital'!$D$15))*$C$131*E$124</f>
        <v>0</v>
      </c>
      <c r="F131" s="95">
        <f>((E63*(1-'5.Closing Stock &amp; W Capital'!$D$15))+(D63*'5.Closing Stock &amp; W Capital'!$D$15))*$C$131*F$124</f>
        <v>0</v>
      </c>
      <c r="G131" s="95">
        <f>((F63*(1-'5.Closing Stock &amp; W Capital'!$D$15))+(E63*'5.Closing Stock &amp; W Capital'!$D$15))*$C$131*G124</f>
        <v>0</v>
      </c>
      <c r="H131" s="95">
        <f>((G63*(1-'5.Closing Stock &amp; W Capital'!$D$15))+(F63*'5.Closing Stock &amp; W Capital'!$D$15))*$C$131*H124</f>
        <v>0</v>
      </c>
      <c r="I131" s="95">
        <f>((H63*(1-'5.Closing Stock &amp; W Capital'!$D$15))+(G63*'5.Closing Stock &amp; W Capital'!$D$15))*$C$131*I124</f>
        <v>0</v>
      </c>
      <c r="J131" s="95">
        <f>((I63*(1-'5.Closing Stock &amp; W Capital'!$D$15))+(H63*'5.Closing Stock &amp; W Capital'!$D$15))*$C$131*J124</f>
        <v>0</v>
      </c>
      <c r="U131" s="138"/>
    </row>
    <row r="132" spans="1:21" x14ac:dyDescent="0.2">
      <c r="A132" s="93" t="str">
        <f t="shared" si="52"/>
        <v>Paddy/Rice</v>
      </c>
      <c r="B132" s="93"/>
      <c r="C132" s="388">
        <v>65</v>
      </c>
      <c r="D132" s="95">
        <f>(C64*(1-'5.Closing Stock &amp; W Capital'!$D$15))*$C$132*D$124</f>
        <v>0</v>
      </c>
      <c r="E132" s="95">
        <f>((D64*(1-'5.Closing Stock &amp; W Capital'!$D$15))+(C64*'5.Closing Stock &amp; W Capital'!$D$15))*$C$132*E$124</f>
        <v>0</v>
      </c>
      <c r="F132" s="95">
        <f>((E64*(1-'5.Closing Stock &amp; W Capital'!$D$15))+(D64*'5.Closing Stock &amp; W Capital'!$D$15))*$C$132*F$124</f>
        <v>0</v>
      </c>
      <c r="G132" s="95">
        <f>((F64*(1-'5.Closing Stock &amp; W Capital'!$D$15))+(E64*'5.Closing Stock &amp; W Capital'!$D$15))*$C$132*G124</f>
        <v>0</v>
      </c>
      <c r="H132" s="95">
        <f>((G64*(1-'5.Closing Stock &amp; W Capital'!$D$15))+(F64*'5.Closing Stock &amp; W Capital'!$D$15))*$C$132*H124</f>
        <v>0</v>
      </c>
      <c r="I132" s="95">
        <f>((H64*(1-'5.Closing Stock &amp; W Capital'!$D$15))+(G64*'5.Closing Stock &amp; W Capital'!$D$15))*$C$132*I124</f>
        <v>0</v>
      </c>
      <c r="J132" s="95">
        <f>((I64*(1-'5.Closing Stock &amp; W Capital'!$D$15))+(H64*'5.Closing Stock &amp; W Capital'!$D$15))*$C$132*J124</f>
        <v>0</v>
      </c>
    </row>
    <row r="133" spans="1:21" x14ac:dyDescent="0.2">
      <c r="A133" s="93" t="str">
        <f t="shared" si="52"/>
        <v>Green Gram/ Moong</v>
      </c>
      <c r="B133" s="93"/>
      <c r="C133" s="388">
        <v>85</v>
      </c>
      <c r="D133" s="95">
        <f>(C65*(1-'5.Closing Stock &amp; W Capital'!$D$15))*$C$133*D$124</f>
        <v>0</v>
      </c>
      <c r="E133" s="95">
        <f>((D65*(1-'5.Closing Stock &amp; W Capital'!$D$15))+(C65*'5.Closing Stock &amp; W Capital'!$D$15))*$C$133*E$124</f>
        <v>0</v>
      </c>
      <c r="F133" s="95">
        <f>((E65*(1-'5.Closing Stock &amp; W Capital'!$D$15))+(D65*'5.Closing Stock &amp; W Capital'!$D$15))*$C$133*F$124</f>
        <v>0</v>
      </c>
      <c r="G133" s="95">
        <f>((F65*(1-'5.Closing Stock &amp; W Capital'!$D$15))+(E65*'5.Closing Stock &amp; W Capital'!$D$15))*$C$133*G$124</f>
        <v>0</v>
      </c>
      <c r="H133" s="95">
        <f>((G65*(1-'5.Closing Stock &amp; W Capital'!$D$15))+(F65*'5.Closing Stock &amp; W Capital'!$D$15))*$C$133*H$124</f>
        <v>0</v>
      </c>
      <c r="I133" s="95">
        <f>((H65*(1-'5.Closing Stock &amp; W Capital'!$D$15))+(G65*'5.Closing Stock &amp; W Capital'!$D$15))*$C$133*I$124</f>
        <v>0</v>
      </c>
      <c r="J133" s="95">
        <f>((I65*(1-'5.Closing Stock &amp; W Capital'!$D$15))+(H65*'5.Closing Stock &amp; W Capital'!$D$15))*$C$133*J$124</f>
        <v>0</v>
      </c>
    </row>
    <row r="134" spans="1:21" x14ac:dyDescent="0.2">
      <c r="A134" s="93" t="str">
        <f t="shared" si="52"/>
        <v>Maize</v>
      </c>
      <c r="B134" s="93"/>
      <c r="C134" s="388">
        <v>37</v>
      </c>
      <c r="D134" s="95">
        <f>(C66*(1-'5.Closing Stock &amp; W Capital'!$D$15))*$C$134*D$124</f>
        <v>0</v>
      </c>
      <c r="E134" s="95">
        <f>((D66*(1-'5.Closing Stock &amp; W Capital'!$D$15))+(C66*'5.Closing Stock &amp; W Capital'!$D$15))*$C$135*E$124</f>
        <v>0</v>
      </c>
      <c r="F134" s="95">
        <f>((E66*(1-'5.Closing Stock &amp; W Capital'!$D$15))+(D66*'5.Closing Stock &amp; W Capital'!$D$15))*$C$135*F$124</f>
        <v>0</v>
      </c>
      <c r="G134" s="95">
        <f>((F66*(1-'5.Closing Stock &amp; W Capital'!$D$15))+(E66*'5.Closing Stock &amp; W Capital'!$D$15))*$C$135*G$124</f>
        <v>0</v>
      </c>
      <c r="H134" s="95">
        <f>((G66*(1-'5.Closing Stock &amp; W Capital'!$D$15))+(F66*'5.Closing Stock &amp; W Capital'!$D$15))*$C$135*H$124</f>
        <v>0</v>
      </c>
      <c r="I134" s="95">
        <f>((H66*(1-'5.Closing Stock &amp; W Capital'!$D$15))+(G66*'5.Closing Stock &amp; W Capital'!$D$15))*$C$135*I$124</f>
        <v>0</v>
      </c>
      <c r="J134" s="95">
        <f>((I66*(1-'5.Closing Stock &amp; W Capital'!$D$15))+(H66*'5.Closing Stock &amp; W Capital'!$D$15))*$C$135*J$124</f>
        <v>0</v>
      </c>
    </row>
    <row r="135" spans="1:21" x14ac:dyDescent="0.2">
      <c r="A135" s="93" t="str">
        <f t="shared" si="52"/>
        <v>Black Gram/Udid</v>
      </c>
      <c r="B135" s="93"/>
      <c r="C135" s="388">
        <v>75</v>
      </c>
      <c r="D135" s="95">
        <f>(C67*(1-'5.Closing Stock &amp; W Capital'!$D$15))*$C$135*D$124</f>
        <v>0</v>
      </c>
      <c r="E135" s="95">
        <f>((D67*(1-'5.Closing Stock &amp; W Capital'!$D$15))+(C67*'5.Closing Stock &amp; W Capital'!$D$15))*$C$135*E$124</f>
        <v>0</v>
      </c>
      <c r="F135" s="95">
        <f>((E67*(1-'5.Closing Stock &amp; W Capital'!$D$15))+(D67*'5.Closing Stock &amp; W Capital'!$D$15))*$C$135*F$124</f>
        <v>0</v>
      </c>
      <c r="G135" s="95">
        <f>((F67*(1-'5.Closing Stock &amp; W Capital'!$D$15))+(E67*'5.Closing Stock &amp; W Capital'!$D$15))*$C$135*G$124</f>
        <v>0</v>
      </c>
      <c r="H135" s="95">
        <f>((G67*(1-'5.Closing Stock &amp; W Capital'!$D$15))+(F67*'5.Closing Stock &amp; W Capital'!$D$15))*$C$135*H$124</f>
        <v>0</v>
      </c>
      <c r="I135" s="95">
        <f>((H67*(1-'5.Closing Stock &amp; W Capital'!$D$15))+(G67*'5.Closing Stock &amp; W Capital'!$D$15))*$C$135*I$124</f>
        <v>0</v>
      </c>
      <c r="J135" s="95">
        <f>((I67*(1-'5.Closing Stock &amp; W Capital'!$D$15))+(H67*'5.Closing Stock &amp; W Capital'!$D$15))*$C$135*J$124</f>
        <v>0</v>
      </c>
    </row>
    <row r="136" spans="1:21" x14ac:dyDescent="0.2">
      <c r="A136" s="93" t="str">
        <f t="shared" si="52"/>
        <v>Bajra</v>
      </c>
      <c r="B136" s="93"/>
      <c r="C136" s="388">
        <v>30</v>
      </c>
      <c r="D136" s="95">
        <f>(C68*(1-'5.Closing Stock &amp; W Capital'!$D$15))*$C$136*D$124</f>
        <v>0</v>
      </c>
      <c r="E136" s="95">
        <f>((D68*(1-'5.Closing Stock &amp; W Capital'!$D$15))+(C68*'5.Closing Stock &amp; W Capital'!$D$15))*$C$136*E$124</f>
        <v>0</v>
      </c>
      <c r="F136" s="95">
        <f>((E68*(1-'5.Closing Stock &amp; W Capital'!$D$15))+(D68*'5.Closing Stock &amp; W Capital'!$D$15))*$C$136*F$124</f>
        <v>0</v>
      </c>
      <c r="G136" s="95">
        <f>((F68*(1-'5.Closing Stock &amp; W Capital'!$D$15))+(E68*'5.Closing Stock &amp; W Capital'!$D$15))*$C$136*G$124</f>
        <v>0</v>
      </c>
      <c r="H136" s="95">
        <f>((G68*(1-'5.Closing Stock &amp; W Capital'!$D$15))+(F68*'5.Closing Stock &amp; W Capital'!$D$15))*$C$136*H$124</f>
        <v>0</v>
      </c>
      <c r="I136" s="95">
        <f>((H68*(1-'5.Closing Stock &amp; W Capital'!$D$15))+(G68*'5.Closing Stock &amp; W Capital'!$D$15))*$C$136*I$124</f>
        <v>0</v>
      </c>
      <c r="J136" s="95">
        <f>((I68*(1-'5.Closing Stock &amp; W Capital'!$D$15))+(H68*'5.Closing Stock &amp; W Capital'!$D$15))*$C$136*J$124</f>
        <v>0</v>
      </c>
    </row>
    <row r="137" spans="1:21" x14ac:dyDescent="0.2">
      <c r="A137" s="93" t="str">
        <f t="shared" si="52"/>
        <v>Jawar</v>
      </c>
      <c r="B137" s="93"/>
      <c r="C137" s="388">
        <v>30</v>
      </c>
      <c r="D137" s="95">
        <f>(C69*(1-'5.Closing Stock &amp; W Capital'!$D$15))*$C$137*D$124</f>
        <v>0</v>
      </c>
      <c r="E137" s="95">
        <f>((D69*(1-'5.Closing Stock &amp; W Capital'!$D$15))+(C69*'5.Closing Stock &amp; W Capital'!$D$15))*$C$137*E$124</f>
        <v>0</v>
      </c>
      <c r="F137" s="95">
        <f>((E69*(1-'5.Closing Stock &amp; W Capital'!$D$15))+(D69*'5.Closing Stock &amp; W Capital'!$D$15))*$C$137*F$124</f>
        <v>0</v>
      </c>
      <c r="G137" s="95">
        <f>((F69*(1-'5.Closing Stock &amp; W Capital'!$D$15))+(E69*'5.Closing Stock &amp; W Capital'!$D$15))*$C$137*G$124</f>
        <v>0</v>
      </c>
      <c r="H137" s="95">
        <f>((G69*(1-'5.Closing Stock &amp; W Capital'!$D$15))+(F69*'5.Closing Stock &amp; W Capital'!$D$15))*$C$137*H$124</f>
        <v>0</v>
      </c>
      <c r="I137" s="95">
        <f>((H69*(1-'5.Closing Stock &amp; W Capital'!$D$15))+(G69*'5.Closing Stock &amp; W Capital'!$D$15))*$C$137*I$124</f>
        <v>0</v>
      </c>
      <c r="J137" s="95">
        <f>((I69*(1-'5.Closing Stock &amp; W Capital'!$D$15))+(H69*'5.Closing Stock &amp; W Capital'!$D$15))*$C$137*J$124</f>
        <v>0</v>
      </c>
    </row>
    <row r="138" spans="1:21" x14ac:dyDescent="0.2">
      <c r="A138" s="98" t="str">
        <f t="shared" si="52"/>
        <v>Rabi Crop</v>
      </c>
      <c r="B138" s="93"/>
      <c r="C138" s="388"/>
      <c r="D138" s="95"/>
      <c r="E138" s="95"/>
      <c r="F138" s="95"/>
      <c r="G138" s="95"/>
      <c r="H138" s="95"/>
      <c r="I138" s="95"/>
      <c r="J138" s="95"/>
    </row>
    <row r="139" spans="1:21" x14ac:dyDescent="0.2">
      <c r="A139" s="93" t="str">
        <f t="shared" si="52"/>
        <v>Wheat</v>
      </c>
      <c r="B139" s="93"/>
      <c r="C139" s="388">
        <v>40</v>
      </c>
      <c r="D139" s="95">
        <f>(C71*(1-'5.Closing Stock &amp; W Capital'!$D$15))*$C$139*D$124</f>
        <v>0</v>
      </c>
      <c r="E139" s="95">
        <f>((D71*(1-'5.Closing Stock &amp; W Capital'!$D$15))+(C71*'5.Closing Stock &amp; W Capital'!$D$15))*$C$139*E$124</f>
        <v>0</v>
      </c>
      <c r="F139" s="95">
        <f>((E71*(1-'5.Closing Stock &amp; W Capital'!$D$15))+(D71*'5.Closing Stock &amp; W Capital'!$D$15))*$C$139*F$124</f>
        <v>0</v>
      </c>
      <c r="G139" s="95">
        <f>((F71*(1-'5.Closing Stock &amp; W Capital'!$D$15))+(E71*'5.Closing Stock &amp; W Capital'!$D$15))*$C$139*G$124</f>
        <v>0</v>
      </c>
      <c r="H139" s="95">
        <f>((G71*(1-'5.Closing Stock &amp; W Capital'!$D$15))+(F71*'5.Closing Stock &amp; W Capital'!$D$15))*$C$139*H$124</f>
        <v>0</v>
      </c>
      <c r="I139" s="95">
        <f>((H71*(1-'5.Closing Stock &amp; W Capital'!$D$15))+(G71*'5.Closing Stock &amp; W Capital'!$D$15))*$C$139*I$124</f>
        <v>0</v>
      </c>
      <c r="J139" s="95">
        <f>((I71*(1-'5.Closing Stock &amp; W Capital'!$D$15))+(H71*'5.Closing Stock &amp; W Capital'!$D$15))*$C$139*J$124</f>
        <v>0</v>
      </c>
    </row>
    <row r="140" spans="1:21" x14ac:dyDescent="0.2">
      <c r="A140" s="93" t="str">
        <f t="shared" si="52"/>
        <v>Bengal Gram/Channa</v>
      </c>
      <c r="B140" s="93"/>
      <c r="C140" s="388">
        <v>75</v>
      </c>
      <c r="D140" s="95">
        <f>(C72*(1-'5.Closing Stock &amp; W Capital'!$D$15))*$C$140*D$124</f>
        <v>0</v>
      </c>
      <c r="E140" s="95">
        <f>((D72*(1-'5.Closing Stock &amp; W Capital'!$D$15))+(C72*'5.Closing Stock &amp; W Capital'!$D$15))*$C$140*E$124</f>
        <v>0</v>
      </c>
      <c r="F140" s="95">
        <f>((E72*(1-'5.Closing Stock &amp; W Capital'!$D$15))+(D72*'5.Closing Stock &amp; W Capital'!$D$15))*$C$140*F$124</f>
        <v>0</v>
      </c>
      <c r="G140" s="95">
        <f>((F72*(1-'5.Closing Stock &amp; W Capital'!$D$15))+(E72*'5.Closing Stock &amp; W Capital'!$D$15))*$C$140*G$124</f>
        <v>0</v>
      </c>
      <c r="H140" s="95">
        <f>((G72*(1-'5.Closing Stock &amp; W Capital'!$D$15))+(F72*'5.Closing Stock &amp; W Capital'!$D$15))*$C$140*H$124</f>
        <v>0</v>
      </c>
      <c r="I140" s="95">
        <f>((H72*(1-'5.Closing Stock &amp; W Capital'!$D$15))+(G72*'5.Closing Stock &amp; W Capital'!$D$15))*$C$140*I$124</f>
        <v>0</v>
      </c>
      <c r="J140" s="95">
        <f>((I72*(1-'5.Closing Stock &amp; W Capital'!$D$15))+(H72*'5.Closing Stock &amp; W Capital'!$D$15))*$C$140*J$124</f>
        <v>0</v>
      </c>
    </row>
    <row r="141" spans="1:21" x14ac:dyDescent="0.2">
      <c r="A141" s="93" t="str">
        <f t="shared" si="52"/>
        <v>Jawar</v>
      </c>
      <c r="B141" s="93"/>
      <c r="C141" s="388">
        <v>27</v>
      </c>
      <c r="D141" s="95">
        <f>(C73*(1-'5.Closing Stock &amp; W Capital'!$D$15))*$C$141*D$124</f>
        <v>0</v>
      </c>
      <c r="E141" s="95">
        <f>((D73*(1-'5.Closing Stock &amp; W Capital'!$D$15))+(C73*'5.Closing Stock &amp; W Capital'!$D$15))*$C$141*E$124</f>
        <v>0</v>
      </c>
      <c r="F141" s="95">
        <f>((E73*(1-'5.Closing Stock &amp; W Capital'!$D$15))+(D73*'5.Closing Stock &amp; W Capital'!$D$15))*$C$141*F$124</f>
        <v>0</v>
      </c>
      <c r="G141" s="95">
        <f>((F73*(1-'5.Closing Stock &amp; W Capital'!$D$15))+(E73*'5.Closing Stock &amp; W Capital'!$D$15))*$C$141*G$124</f>
        <v>0</v>
      </c>
      <c r="H141" s="95">
        <f>((G73*(1-'5.Closing Stock &amp; W Capital'!$D$15))+(F73*'5.Closing Stock &amp; W Capital'!$D$15))*$C$141*H$124</f>
        <v>0</v>
      </c>
      <c r="I141" s="95">
        <f>((H73*(1-'5.Closing Stock &amp; W Capital'!$D$15))+(G73*'5.Closing Stock &amp; W Capital'!$D$15))*$C$141*I$124</f>
        <v>0</v>
      </c>
      <c r="J141" s="95">
        <f>((I73*(1-'5.Closing Stock &amp; W Capital'!$D$15))+(H73*'5.Closing Stock &amp; W Capital'!$D$15))*$C$141*J$124</f>
        <v>0</v>
      </c>
    </row>
    <row r="142" spans="1:21" x14ac:dyDescent="0.2">
      <c r="A142" s="93" t="str">
        <f t="shared" si="52"/>
        <v>Maize</v>
      </c>
      <c r="B142" s="93"/>
      <c r="C142" s="388">
        <v>27</v>
      </c>
      <c r="D142" s="95">
        <f>(C74*(1-'5.Closing Stock &amp; W Capital'!$D$15))*$C$142*D$124</f>
        <v>0</v>
      </c>
      <c r="E142" s="95">
        <f>((D74*(1-'5.Closing Stock &amp; W Capital'!$D$15))+(C74*'5.Closing Stock &amp; W Capital'!$D$15))*$C$142*E$124</f>
        <v>0</v>
      </c>
      <c r="F142" s="95">
        <f>((E74*(1-'5.Closing Stock &amp; W Capital'!$D$15))+(D74*'5.Closing Stock &amp; W Capital'!$D$15))*$C$142*F$124</f>
        <v>0</v>
      </c>
      <c r="G142" s="95">
        <f>((F74*(1-'5.Closing Stock &amp; W Capital'!$D$15))+(E74*'5.Closing Stock &amp; W Capital'!$D$15))*$C$142*G$124</f>
        <v>0</v>
      </c>
      <c r="H142" s="95">
        <f>((G74*(1-'5.Closing Stock &amp; W Capital'!$D$15))+(F74*'5.Closing Stock &amp; W Capital'!$D$15))*$C$142*H$124</f>
        <v>0</v>
      </c>
      <c r="I142" s="95">
        <f>((H74*(1-'5.Closing Stock &amp; W Capital'!$D$15))+(G74*'5.Closing Stock &amp; W Capital'!$D$15))*$C$142*I$124</f>
        <v>0</v>
      </c>
      <c r="J142" s="95">
        <f>((I74*(1-'5.Closing Stock &amp; W Capital'!$D$15))+(H74*'5.Closing Stock &amp; W Capital'!$D$15))*$C$142*J$124</f>
        <v>0</v>
      </c>
    </row>
    <row r="143" spans="1:21" x14ac:dyDescent="0.2">
      <c r="A143" s="93" t="str">
        <f t="shared" si="52"/>
        <v>Safflower</v>
      </c>
      <c r="B143" s="93"/>
      <c r="C143" s="388"/>
      <c r="D143" s="95">
        <f>(C75*(1-'5.Closing Stock &amp; W Capital'!$D$15))*$C$143*D$124</f>
        <v>0</v>
      </c>
      <c r="E143" s="95">
        <f>((D75*(1-'5.Closing Stock &amp; W Capital'!$D$15))+(C75*'5.Closing Stock &amp; W Capital'!$D$15))*$C$143*E$124</f>
        <v>0</v>
      </c>
      <c r="F143" s="95">
        <f>((E75*(1-'5.Closing Stock &amp; W Capital'!$D$15))+(D75*'5.Closing Stock &amp; W Capital'!$D$15))*$C$143*F$124</f>
        <v>0</v>
      </c>
      <c r="G143" s="95">
        <f>((F75*(1-'5.Closing Stock &amp; W Capital'!$D$15))+(E75*'5.Closing Stock &amp; W Capital'!$D$15))*$C$143*G$124</f>
        <v>0</v>
      </c>
      <c r="H143" s="95">
        <f>((G75*(1-'5.Closing Stock &amp; W Capital'!$D$15))+(F75*'5.Closing Stock &amp; W Capital'!$D$15))*$C$143*H$124</f>
        <v>0</v>
      </c>
      <c r="I143" s="95">
        <f>((H75*(1-'5.Closing Stock &amp; W Capital'!$D$15))+(G75*'5.Closing Stock &amp; W Capital'!$D$15))*$C$143*I$124</f>
        <v>0</v>
      </c>
      <c r="J143" s="95">
        <f>((I75*(1-'5.Closing Stock &amp; W Capital'!$D$15))+(H75*'5.Closing Stock &amp; W Capital'!$D$15))*$C$143*J$124</f>
        <v>0</v>
      </c>
    </row>
    <row r="144" spans="1:21" x14ac:dyDescent="0.2">
      <c r="A144" s="93">
        <f t="shared" si="52"/>
        <v>0</v>
      </c>
      <c r="B144" s="93"/>
      <c r="C144" s="388"/>
      <c r="D144" s="95">
        <f>(C76*(1-'5.Closing Stock &amp; W Capital'!$D$15))*$C$144*D$124</f>
        <v>0</v>
      </c>
      <c r="E144" s="95">
        <f>((D76*(1-'5.Closing Stock &amp; W Capital'!$D$15))+(C76*'5.Closing Stock &amp; W Capital'!$D$15))*$C$144*E$124</f>
        <v>0</v>
      </c>
      <c r="F144" s="95">
        <f>((E76*(1-'5.Closing Stock &amp; W Capital'!$D$15))+(D76*'5.Closing Stock &amp; W Capital'!$D$15))*$C$144*F$124</f>
        <v>0</v>
      </c>
      <c r="G144" s="95">
        <f>((F76*(1-'5.Closing Stock &amp; W Capital'!$D$15))+(E76*'5.Closing Stock &amp; W Capital'!$D$15))*$C$144*G$124</f>
        <v>0</v>
      </c>
      <c r="H144" s="95">
        <f>((G76*(1-'5.Closing Stock &amp; W Capital'!$D$15))+(F76*'5.Closing Stock &amp; W Capital'!$D$15))*$C$144*H$124</f>
        <v>0</v>
      </c>
      <c r="I144" s="95">
        <f>((H76*(1-'5.Closing Stock &amp; W Capital'!$D$15))+(G76*'5.Closing Stock &amp; W Capital'!$D$15))*$C$144*I$124</f>
        <v>0</v>
      </c>
      <c r="J144" s="95">
        <f>((I76*(1-'5.Closing Stock &amp; W Capital'!$D$15))+(H76*'5.Closing Stock &amp; W Capital'!$D$15))*$C$144*J$124</f>
        <v>0</v>
      </c>
    </row>
    <row r="145" spans="1:10" x14ac:dyDescent="0.2">
      <c r="A145" s="93">
        <f t="shared" si="52"/>
        <v>0</v>
      </c>
      <c r="B145" s="93"/>
      <c r="C145" s="388"/>
      <c r="D145" s="95">
        <f>(C77*(1-'5.Closing Stock &amp; W Capital'!$D$15))*$C$145*D$124</f>
        <v>0</v>
      </c>
      <c r="E145" s="95">
        <f>((D77*(1-'5.Closing Stock &amp; W Capital'!$D$15))+(C77*'5.Closing Stock &amp; W Capital'!$D$15))*$C$145*E$124</f>
        <v>0</v>
      </c>
      <c r="F145" s="95">
        <f>((E77*(1-'5.Closing Stock &amp; W Capital'!$D$15))+(D77*'5.Closing Stock &amp; W Capital'!$D$15))*$C$145*F$124</f>
        <v>0</v>
      </c>
      <c r="G145" s="95">
        <f>((F77*(1-'5.Closing Stock &amp; W Capital'!$D$15))+(E77*'5.Closing Stock &amp; W Capital'!$D$15))*$C$145*G$124</f>
        <v>0</v>
      </c>
      <c r="H145" s="95">
        <f>((G77*(1-'5.Closing Stock &amp; W Capital'!$D$15))+(F77*'5.Closing Stock &amp; W Capital'!$D$15))*$C$145*H$124</f>
        <v>0</v>
      </c>
      <c r="I145" s="95">
        <f>((H77*(1-'5.Closing Stock &amp; W Capital'!$D$15))+(G77*'5.Closing Stock &amp; W Capital'!$D$15))*$C$145*I$124</f>
        <v>0</v>
      </c>
      <c r="J145" s="95">
        <f>((I77*(1-'5.Closing Stock &amp; W Capital'!$D$15))+(H77*'5.Closing Stock &amp; W Capital'!$D$15))*$C$145*J$124</f>
        <v>0</v>
      </c>
    </row>
    <row r="146" spans="1:10" x14ac:dyDescent="0.2">
      <c r="A146" s="93">
        <f t="shared" si="52"/>
        <v>0</v>
      </c>
      <c r="B146" s="93"/>
      <c r="C146" s="388"/>
      <c r="D146" s="95">
        <f>(C78*(1-'5.Closing Stock &amp; W Capital'!$D$15))*$C$146*D$124</f>
        <v>0</v>
      </c>
      <c r="E146" s="95">
        <f>((D78*(1-'5.Closing Stock &amp; W Capital'!$D$15))+(C78*'5.Closing Stock &amp; W Capital'!$D$15))*$C$146*E$124</f>
        <v>0</v>
      </c>
      <c r="F146" s="95">
        <f>((E78*(1-'5.Closing Stock &amp; W Capital'!$D$15))+(D78*'5.Closing Stock &amp; W Capital'!$D$15))*$C$146*F$124</f>
        <v>0</v>
      </c>
      <c r="G146" s="95">
        <f>((F78*(1-'5.Closing Stock &amp; W Capital'!$D$15))+(E78*'5.Closing Stock &amp; W Capital'!$D$15))*$C$146*G$124</f>
        <v>0</v>
      </c>
      <c r="H146" s="95">
        <f>((G78*(1-'5.Closing Stock &amp; W Capital'!$D$15))+(F78*'5.Closing Stock &amp; W Capital'!$D$15))*$C$146*H$124</f>
        <v>0</v>
      </c>
      <c r="I146" s="95">
        <f>((H78*(1-'5.Closing Stock &amp; W Capital'!$D$15))+(G78*'5.Closing Stock &amp; W Capital'!$D$15))*$C$146*I$124</f>
        <v>0</v>
      </c>
      <c r="J146" s="95">
        <f>((I78*(1-'5.Closing Stock &amp; W Capital'!$D$15))+(H78*'5.Closing Stock &amp; W Capital'!$D$15))*$C$146*J$124</f>
        <v>0</v>
      </c>
    </row>
    <row r="147" spans="1:10" x14ac:dyDescent="0.2">
      <c r="A147" s="98" t="str">
        <f t="shared" si="52"/>
        <v>Summer</v>
      </c>
      <c r="B147" s="93"/>
      <c r="C147" s="388"/>
      <c r="D147" s="95"/>
      <c r="E147" s="95"/>
      <c r="F147" s="95"/>
      <c r="G147" s="95"/>
      <c r="H147" s="95"/>
      <c r="I147" s="95"/>
      <c r="J147" s="95"/>
    </row>
    <row r="148" spans="1:10" x14ac:dyDescent="0.2">
      <c r="A148" s="93" t="str">
        <f t="shared" si="52"/>
        <v>Groundnut</v>
      </c>
      <c r="B148" s="93"/>
      <c r="C148" s="388"/>
      <c r="D148" s="95">
        <f>(C80*(1-'5.Closing Stock &amp; W Capital'!$D$15))*$C$148*D$124</f>
        <v>0</v>
      </c>
      <c r="E148" s="95">
        <f>((D80*(1-'5.Closing Stock &amp; W Capital'!$D$15))+(C80*'5.Closing Stock &amp; W Capital'!$D$15))*$C$148*E$124</f>
        <v>0</v>
      </c>
      <c r="F148" s="95">
        <f>((E80*(1-'5.Closing Stock &amp; W Capital'!$D$15))+(D80*'5.Closing Stock &amp; W Capital'!$D$15))*$C$148*F$124</f>
        <v>0</v>
      </c>
      <c r="G148" s="95">
        <f>((F80*(1-'5.Closing Stock &amp; W Capital'!$D$15))+(E80*'5.Closing Stock &amp; W Capital'!$D$15))*$C$148*G$124</f>
        <v>0</v>
      </c>
      <c r="H148" s="95">
        <f>((G80*(1-'5.Closing Stock &amp; W Capital'!$D$15))+(F80*'5.Closing Stock &amp; W Capital'!$D$15))*$C$148*H$124</f>
        <v>0</v>
      </c>
      <c r="I148" s="95">
        <f>((H80*(1-'5.Closing Stock &amp; W Capital'!$D$15))+(G80*'5.Closing Stock &amp; W Capital'!$D$15))*$C$148*I$124</f>
        <v>0</v>
      </c>
      <c r="J148" s="95">
        <f>((I80*(1-'5.Closing Stock &amp; W Capital'!$D$15))+(H80*'5.Closing Stock &amp; W Capital'!$D$15))*$C$148*J$124</f>
        <v>0</v>
      </c>
    </row>
    <row r="149" spans="1:10" x14ac:dyDescent="0.2">
      <c r="A149" s="93">
        <f t="shared" si="52"/>
        <v>0</v>
      </c>
      <c r="B149" s="93"/>
      <c r="C149" s="388"/>
      <c r="D149" s="95">
        <f>(C81*(1-'5.Closing Stock &amp; W Capital'!$D$15))*$C$149*D$124</f>
        <v>0</v>
      </c>
      <c r="E149" s="95">
        <f>((D81*(1-'5.Closing Stock &amp; W Capital'!$D$15))+(C81*'5.Closing Stock &amp; W Capital'!$D$15))*$C$149*E$124</f>
        <v>0</v>
      </c>
      <c r="F149" s="95">
        <f>((E81*(1-'5.Closing Stock &amp; W Capital'!$D$15))+(D81*'5.Closing Stock &amp; W Capital'!$D$15))*$C$149*F$124</f>
        <v>0</v>
      </c>
      <c r="G149" s="95">
        <f>((F81*(1-'5.Closing Stock &amp; W Capital'!$D$15))+(E81*'5.Closing Stock &amp; W Capital'!$D$15))*$C$149*G$124</f>
        <v>0</v>
      </c>
      <c r="H149" s="95">
        <f>((G81*(1-'5.Closing Stock &amp; W Capital'!$D$15))+(F81*'5.Closing Stock &amp; W Capital'!$D$15))*$C$149*H$124</f>
        <v>0</v>
      </c>
      <c r="I149" s="95">
        <f>((H81*(1-'5.Closing Stock &amp; W Capital'!$D$15))+(G81*'5.Closing Stock &amp; W Capital'!$D$15))*$C$149*I$124</f>
        <v>0</v>
      </c>
      <c r="J149" s="95">
        <f>((I81*(1-'5.Closing Stock &amp; W Capital'!$D$15))+(H81*'5.Closing Stock &amp; W Capital'!$D$15))*$C$149*J$124</f>
        <v>0</v>
      </c>
    </row>
    <row r="150" spans="1:10" x14ac:dyDescent="0.2">
      <c r="A150" s="93">
        <f t="shared" si="52"/>
        <v>0</v>
      </c>
      <c r="B150" s="93"/>
      <c r="C150" s="388"/>
      <c r="D150" s="95">
        <f>(C82*(1-'5.Closing Stock &amp; W Capital'!$D$15))*$C$150*D$124</f>
        <v>0</v>
      </c>
      <c r="E150" s="95">
        <f>((D82*(1-'5.Closing Stock &amp; W Capital'!$D$15))+(C82*'5.Closing Stock &amp; W Capital'!$D$15))*$C$150*E$124</f>
        <v>0</v>
      </c>
      <c r="F150" s="95">
        <f>((E82*(1-'5.Closing Stock &amp; W Capital'!$D$15))+(D82*'5.Closing Stock &amp; W Capital'!$D$15))*$C$150*F$124</f>
        <v>0</v>
      </c>
      <c r="G150" s="95">
        <f>((F82*(1-'5.Closing Stock &amp; W Capital'!$D$15))+(E82*'5.Closing Stock &amp; W Capital'!$D$15))*$C$150*G$124</f>
        <v>0</v>
      </c>
      <c r="H150" s="95">
        <f>((G82*(1-'5.Closing Stock &amp; W Capital'!$D$15))+(F82*'5.Closing Stock &amp; W Capital'!$D$15))*$C$150*H$124</f>
        <v>0</v>
      </c>
      <c r="I150" s="95">
        <f>((H82*(1-'5.Closing Stock &amp; W Capital'!$D$15))+(G82*'5.Closing Stock &amp; W Capital'!$D$15))*$C$150*I$124</f>
        <v>0</v>
      </c>
      <c r="J150" s="95">
        <f>((I82*(1-'5.Closing Stock &amp; W Capital'!$D$15))+(H82*'5.Closing Stock &amp; W Capital'!$D$15))*$C$150*J$124</f>
        <v>0</v>
      </c>
    </row>
    <row r="151" spans="1:10" x14ac:dyDescent="0.2">
      <c r="A151" s="93">
        <f t="shared" si="52"/>
        <v>0</v>
      </c>
      <c r="B151" s="93"/>
      <c r="C151" s="388"/>
      <c r="D151" s="95">
        <f>(C83*(1-'5.Closing Stock &amp; W Capital'!$D$15))*$C$151*D$124</f>
        <v>0</v>
      </c>
      <c r="E151" s="95">
        <f>((D83*(1-'5.Closing Stock &amp; W Capital'!$D$15))+(C83*'5.Closing Stock &amp; W Capital'!$D$15))*$C$151*E$124</f>
        <v>0</v>
      </c>
      <c r="F151" s="95">
        <f>((E83*(1-'5.Closing Stock &amp; W Capital'!$D$15))+(D83*'5.Closing Stock &amp; W Capital'!$D$15))*$C$151*F$124</f>
        <v>0</v>
      </c>
      <c r="G151" s="95">
        <f>((F83*(1-'5.Closing Stock &amp; W Capital'!$D$15))+(E83*'5.Closing Stock &amp; W Capital'!$D$15))*$C$151*G$124</f>
        <v>0</v>
      </c>
      <c r="H151" s="95">
        <f>((G83*(1-'5.Closing Stock &amp; W Capital'!$D$15))+(F83*'5.Closing Stock &amp; W Capital'!$D$15))*$C$151*H$124</f>
        <v>0</v>
      </c>
      <c r="I151" s="95">
        <f>((H83*(1-'5.Closing Stock &amp; W Capital'!$D$15))+(G83*'5.Closing Stock &amp; W Capital'!$D$15))*$C$151*I$124</f>
        <v>0</v>
      </c>
      <c r="J151" s="95">
        <f>((I83*(1-'5.Closing Stock &amp; W Capital'!$D$15))+(H83*'5.Closing Stock &amp; W Capital'!$D$15))*$C$151*J$124</f>
        <v>0</v>
      </c>
    </row>
    <row r="152" spans="1:10" x14ac:dyDescent="0.2">
      <c r="A152" s="93">
        <f t="shared" si="52"/>
        <v>0</v>
      </c>
      <c r="B152" s="93"/>
      <c r="C152" s="388"/>
      <c r="D152" s="95">
        <f>(C84*(1-'5.Closing Stock &amp; W Capital'!$D$15))*$C$152*D$124</f>
        <v>0</v>
      </c>
      <c r="E152" s="95">
        <f>((D84*(1-'5.Closing Stock &amp; W Capital'!$D$15))+(C84*'5.Closing Stock &amp; W Capital'!$D$15))*$C$152*E$124</f>
        <v>0</v>
      </c>
      <c r="F152" s="95">
        <f>((E84*(1-'5.Closing Stock &amp; W Capital'!$D$15))+(D84*'5.Closing Stock &amp; W Capital'!$D$15))*$C$152*F$124</f>
        <v>0</v>
      </c>
      <c r="G152" s="95">
        <f>((F84*(1-'5.Closing Stock &amp; W Capital'!$D$15))+(E84*'5.Closing Stock &amp; W Capital'!$D$15))*$C$152*G$124</f>
        <v>0</v>
      </c>
      <c r="H152" s="95">
        <f>((G84*(1-'5.Closing Stock &amp; W Capital'!$D$15))+(F84*'5.Closing Stock &amp; W Capital'!$D$15))*$C$152*H$124</f>
        <v>0</v>
      </c>
      <c r="I152" s="95">
        <f>((H84*(1-'5.Closing Stock &amp; W Capital'!$D$15))+(G84*'5.Closing Stock &amp; W Capital'!$D$15))*$C$152*I$124</f>
        <v>0</v>
      </c>
      <c r="J152" s="95">
        <f>((I84*(1-'5.Closing Stock &amp; W Capital'!$D$15))+(H84*'5.Closing Stock &amp; W Capital'!$D$15))*$C$152*J$124</f>
        <v>0</v>
      </c>
    </row>
    <row r="153" spans="1:10" x14ac:dyDescent="0.2">
      <c r="A153" s="93" t="str">
        <f t="shared" si="52"/>
        <v>Fruit  &amp; Vegetables Crop Production Details</v>
      </c>
      <c r="B153" s="93"/>
      <c r="C153" s="388"/>
      <c r="D153" s="95"/>
      <c r="E153" s="95"/>
      <c r="F153" s="95"/>
      <c r="G153" s="95"/>
      <c r="H153" s="95"/>
      <c r="I153" s="95"/>
      <c r="J153" s="95"/>
    </row>
    <row r="154" spans="1:10" x14ac:dyDescent="0.2">
      <c r="A154" s="93" t="str">
        <f t="shared" si="52"/>
        <v>Onion</v>
      </c>
      <c r="B154" s="93"/>
      <c r="C154" s="388"/>
      <c r="D154" s="95">
        <f>(C86*(1-'5.Closing Stock &amp; W Capital'!$D$15))*$C154*D$124</f>
        <v>0</v>
      </c>
      <c r="E154" s="95">
        <f>((D86*(1-'5.Closing Stock &amp; W Capital'!$D$15))+(C86*'5.Closing Stock &amp; W Capital'!$D$15))*$C154*E$124</f>
        <v>0</v>
      </c>
      <c r="F154" s="95">
        <f>((E86*(1-'5.Closing Stock &amp; W Capital'!$D$15))+(D86*'5.Closing Stock &amp; W Capital'!$D$15))*$C154*F$124</f>
        <v>0</v>
      </c>
      <c r="G154" s="95">
        <f>((F86*(1-'5.Closing Stock &amp; W Capital'!$D$15))+(E86*'5.Closing Stock &amp; W Capital'!$D$15))*$C154*G$124</f>
        <v>0</v>
      </c>
      <c r="H154" s="95">
        <f>((G86*(1-'5.Closing Stock &amp; W Capital'!$D$15))+(F86*'5.Closing Stock &amp; W Capital'!$D$15))*$C154*H$124</f>
        <v>0</v>
      </c>
      <c r="I154" s="95">
        <f>((H86*(1-'5.Closing Stock &amp; W Capital'!$D$15))+(G86*'5.Closing Stock &amp; W Capital'!$D$15))*$C154*I$124</f>
        <v>0</v>
      </c>
      <c r="J154" s="95">
        <f>((I86*(1-'5.Closing Stock &amp; W Capital'!$D$15))+(H86*'5.Closing Stock &amp; W Capital'!$D$15))*$C154*J$124</f>
        <v>0</v>
      </c>
    </row>
    <row r="155" spans="1:10" x14ac:dyDescent="0.2">
      <c r="A155" s="93" t="str">
        <f t="shared" si="52"/>
        <v>Tomato</v>
      </c>
      <c r="B155" s="93"/>
      <c r="C155" s="388"/>
      <c r="D155" s="95">
        <f>(C87*(1-'5.Closing Stock &amp; W Capital'!$D$15))*$C155*D$124</f>
        <v>0</v>
      </c>
      <c r="E155" s="95">
        <f>((D87*(1-'5.Closing Stock &amp; W Capital'!$D$15))+(C87*'5.Closing Stock &amp; W Capital'!$D$15))*$C155*E$124</f>
        <v>0</v>
      </c>
      <c r="F155" s="95">
        <f>((E87*(1-'5.Closing Stock &amp; W Capital'!$D$15))+(D87*'5.Closing Stock &amp; W Capital'!$D$15))*$C155*F$124</f>
        <v>0</v>
      </c>
      <c r="G155" s="95">
        <f>((F87*(1-'5.Closing Stock &amp; W Capital'!$D$15))+(E87*'5.Closing Stock &amp; W Capital'!$D$15))*$C155*G$124</f>
        <v>0</v>
      </c>
      <c r="H155" s="95">
        <f>((G87*(1-'5.Closing Stock &amp; W Capital'!$D$15))+(F87*'5.Closing Stock &amp; W Capital'!$D$15))*$C155*H$124</f>
        <v>0</v>
      </c>
      <c r="I155" s="95">
        <f>((H87*(1-'5.Closing Stock &amp; W Capital'!$D$15))+(G87*'5.Closing Stock &amp; W Capital'!$D$15))*$C155*I$124</f>
        <v>0</v>
      </c>
      <c r="J155" s="95">
        <f>((I87*(1-'5.Closing Stock &amp; W Capital'!$D$15))+(H87*'5.Closing Stock &amp; W Capital'!$D$15))*$C155*J$124</f>
        <v>0</v>
      </c>
    </row>
    <row r="156" spans="1:10" x14ac:dyDescent="0.2">
      <c r="A156" s="93" t="str">
        <f t="shared" si="52"/>
        <v>Okra</v>
      </c>
      <c r="B156" s="93"/>
      <c r="C156" s="388"/>
      <c r="D156" s="95">
        <f>(C88*(1-'5.Closing Stock &amp; W Capital'!$D$15))*$C156*D$124</f>
        <v>0</v>
      </c>
      <c r="E156" s="95">
        <f>((D88*(1-'5.Closing Stock &amp; W Capital'!$D$15))+(C88*'5.Closing Stock &amp; W Capital'!$D$15))*$C156*E$124</f>
        <v>0</v>
      </c>
      <c r="F156" s="95">
        <f>((E88*(1-'5.Closing Stock &amp; W Capital'!$D$15))+(D88*'5.Closing Stock &amp; W Capital'!$D$15))*$C156*F$124</f>
        <v>0</v>
      </c>
      <c r="G156" s="95">
        <f>((F88*(1-'5.Closing Stock &amp; W Capital'!$D$15))+(E88*'5.Closing Stock &amp; W Capital'!$D$15))*$C156*G$124</f>
        <v>0</v>
      </c>
      <c r="H156" s="95">
        <f>((G88*(1-'5.Closing Stock &amp; W Capital'!$D$15))+(F88*'5.Closing Stock &amp; W Capital'!$D$15))*$C156*H$124</f>
        <v>0</v>
      </c>
      <c r="I156" s="95">
        <f>((H88*(1-'5.Closing Stock &amp; W Capital'!$D$15))+(G88*'5.Closing Stock &amp; W Capital'!$D$15))*$C156*I$124</f>
        <v>0</v>
      </c>
      <c r="J156" s="95">
        <f>((I88*(1-'5.Closing Stock &amp; W Capital'!$D$15))+(H88*'5.Closing Stock &amp; W Capital'!$D$15))*$C156*J$124</f>
        <v>0</v>
      </c>
    </row>
    <row r="157" spans="1:10" x14ac:dyDescent="0.2">
      <c r="A157" s="93" t="str">
        <f t="shared" si="52"/>
        <v>Chilli</v>
      </c>
      <c r="B157" s="93"/>
      <c r="C157" s="388"/>
      <c r="D157" s="95">
        <f>(C89*(1-'5.Closing Stock &amp; W Capital'!$D$15))*$C157*D$124</f>
        <v>0</v>
      </c>
      <c r="E157" s="95">
        <f>((D89*(1-'5.Closing Stock &amp; W Capital'!$D$15))+(C89*'5.Closing Stock &amp; W Capital'!$D$15))*$C157*E$124</f>
        <v>0</v>
      </c>
      <c r="F157" s="95">
        <f>((E89*(1-'5.Closing Stock &amp; W Capital'!$D$15))+(D89*'5.Closing Stock &amp; W Capital'!$D$15))*$C157*F$124</f>
        <v>0</v>
      </c>
      <c r="G157" s="95">
        <f>((F89*(1-'5.Closing Stock &amp; W Capital'!$D$15))+(E89*'5.Closing Stock &amp; W Capital'!$D$15))*$C157*G$124</f>
        <v>0</v>
      </c>
      <c r="H157" s="95">
        <f>((G89*(1-'5.Closing Stock &amp; W Capital'!$D$15))+(F89*'5.Closing Stock &amp; W Capital'!$D$15))*$C157*H$124</f>
        <v>0</v>
      </c>
      <c r="I157" s="95">
        <f>((H89*(1-'5.Closing Stock &amp; W Capital'!$D$15))+(G89*'5.Closing Stock &amp; W Capital'!$D$15))*$C157*I$124</f>
        <v>0</v>
      </c>
      <c r="J157" s="95">
        <f>((I89*(1-'5.Closing Stock &amp; W Capital'!$D$15))+(H89*'5.Closing Stock &amp; W Capital'!$D$15))*$C157*J$124</f>
        <v>0</v>
      </c>
    </row>
    <row r="158" spans="1:10" x14ac:dyDescent="0.2">
      <c r="A158" s="93" t="str">
        <f t="shared" si="52"/>
        <v>Potato</v>
      </c>
      <c r="B158" s="93"/>
      <c r="C158" s="388"/>
      <c r="D158" s="95">
        <f>(C90*(1-'5.Closing Stock &amp; W Capital'!$D$15))*$C158*D$124</f>
        <v>0</v>
      </c>
      <c r="E158" s="95">
        <f>((D90*(1-'5.Closing Stock &amp; W Capital'!$D$15))+(C90*'5.Closing Stock &amp; W Capital'!$D$15))*$C158*E$124</f>
        <v>0</v>
      </c>
      <c r="F158" s="95">
        <f>((E90*(1-'5.Closing Stock &amp; W Capital'!$D$15))+(D90*'5.Closing Stock &amp; W Capital'!$D$15))*$C158*F$124</f>
        <v>0</v>
      </c>
      <c r="G158" s="95">
        <f>((F90*(1-'5.Closing Stock &amp; W Capital'!$D$15))+(E90*'5.Closing Stock &amp; W Capital'!$D$15))*$C158*G$124</f>
        <v>0</v>
      </c>
      <c r="H158" s="95">
        <f>((G90*(1-'5.Closing Stock &amp; W Capital'!$D$15))+(F90*'5.Closing Stock &amp; W Capital'!$D$15))*$C158*H$124</f>
        <v>0</v>
      </c>
      <c r="I158" s="95">
        <f>((H90*(1-'5.Closing Stock &amp; W Capital'!$D$15))+(G90*'5.Closing Stock &amp; W Capital'!$D$15))*$C158*I$124</f>
        <v>0</v>
      </c>
      <c r="J158" s="95">
        <f>((I90*(1-'5.Closing Stock &amp; W Capital'!$D$15))+(H90*'5.Closing Stock &amp; W Capital'!$D$15))*$C158*J$124</f>
        <v>0</v>
      </c>
    </row>
    <row r="159" spans="1:10" x14ac:dyDescent="0.2">
      <c r="A159" s="93">
        <f t="shared" si="52"/>
        <v>0</v>
      </c>
      <c r="B159" s="93"/>
      <c r="C159" s="388"/>
      <c r="D159" s="95">
        <f>(C91*(1-'5.Closing Stock &amp; W Capital'!$D$15))*$C159*D$124</f>
        <v>0</v>
      </c>
      <c r="E159" s="95">
        <f>((D91*(1-'5.Closing Stock &amp; W Capital'!$D$15))+(C91*'5.Closing Stock &amp; W Capital'!$D$15))*$C159*E$124</f>
        <v>0</v>
      </c>
      <c r="F159" s="95">
        <f>((E91*(1-'5.Closing Stock &amp; W Capital'!$D$15))+(D91*'5.Closing Stock &amp; W Capital'!$D$15))*$C159*F$124</f>
        <v>0</v>
      </c>
      <c r="G159" s="95">
        <f>((F91*(1-'5.Closing Stock &amp; W Capital'!$D$15))+(E91*'5.Closing Stock &amp; W Capital'!$D$15))*$C159*G$124</f>
        <v>0</v>
      </c>
      <c r="H159" s="95">
        <f>((G91*(1-'5.Closing Stock &amp; W Capital'!$D$15))+(F91*'5.Closing Stock &amp; W Capital'!$D$15))*$C159*H$124</f>
        <v>0</v>
      </c>
      <c r="I159" s="95">
        <f>((H91*(1-'5.Closing Stock &amp; W Capital'!$D$15))+(G91*'5.Closing Stock &amp; W Capital'!$D$15))*$C159*I$124</f>
        <v>0</v>
      </c>
      <c r="J159" s="95">
        <f>((I91*(1-'5.Closing Stock &amp; W Capital'!$D$15))+(H91*'5.Closing Stock &amp; W Capital'!$D$15))*$C159*J$124</f>
        <v>0</v>
      </c>
    </row>
    <row r="160" spans="1:10" x14ac:dyDescent="0.2">
      <c r="A160" s="93">
        <f t="shared" si="52"/>
        <v>0</v>
      </c>
      <c r="B160" s="93"/>
      <c r="C160" s="388"/>
      <c r="D160" s="95">
        <f>(C92*(1-'5.Closing Stock &amp; W Capital'!$D$15))*$C160*D$124</f>
        <v>0</v>
      </c>
      <c r="E160" s="95">
        <f>((D92*(1-'5.Closing Stock &amp; W Capital'!$D$15))+(C92*'5.Closing Stock &amp; W Capital'!$D$15))*$C160*E$124</f>
        <v>0</v>
      </c>
      <c r="F160" s="95">
        <f>((E92*(1-'5.Closing Stock &amp; W Capital'!$D$15))+(D92*'5.Closing Stock &amp; W Capital'!$D$15))*$C160*F$124</f>
        <v>0</v>
      </c>
      <c r="G160" s="95">
        <f>((F92*(1-'5.Closing Stock &amp; W Capital'!$D$15))+(E92*'5.Closing Stock &amp; W Capital'!$D$15))*$C160*G$124</f>
        <v>0</v>
      </c>
      <c r="H160" s="95">
        <f>((G92*(1-'5.Closing Stock &amp; W Capital'!$D$15))+(F92*'5.Closing Stock &amp; W Capital'!$D$15))*$C160*H$124</f>
        <v>0</v>
      </c>
      <c r="I160" s="95">
        <f>((H92*(1-'5.Closing Stock &amp; W Capital'!$D$15))+(G92*'5.Closing Stock &amp; W Capital'!$D$15))*$C160*I$124</f>
        <v>0</v>
      </c>
      <c r="J160" s="95">
        <f>((I92*(1-'5.Closing Stock &amp; W Capital'!$D$15))+(H92*'5.Closing Stock &amp; W Capital'!$D$15))*$C160*J$124</f>
        <v>0</v>
      </c>
    </row>
    <row r="161" spans="1:10" x14ac:dyDescent="0.2">
      <c r="A161" s="93">
        <f t="shared" ref="A161:A179" si="53">A40</f>
        <v>0</v>
      </c>
      <c r="B161" s="93"/>
      <c r="C161" s="388"/>
      <c r="D161" s="95">
        <f>(C93*(1-'5.Closing Stock &amp; W Capital'!$D$15))*$C161*D$124</f>
        <v>0</v>
      </c>
      <c r="E161" s="95">
        <f>((D93*(1-'5.Closing Stock &amp; W Capital'!$D$15))+(C93*'5.Closing Stock &amp; W Capital'!$D$15))*$C161*E$124</f>
        <v>0</v>
      </c>
      <c r="F161" s="95">
        <f>((E93*(1-'5.Closing Stock &amp; W Capital'!$D$15))+(D93*'5.Closing Stock &amp; W Capital'!$D$15))*$C161*F$124</f>
        <v>0</v>
      </c>
      <c r="G161" s="95">
        <f>((F93*(1-'5.Closing Stock &amp; W Capital'!$D$15))+(E93*'5.Closing Stock &amp; W Capital'!$D$15))*$C161*G$124</f>
        <v>0</v>
      </c>
      <c r="H161" s="95">
        <f>((G93*(1-'5.Closing Stock &amp; W Capital'!$D$15))+(F93*'5.Closing Stock &amp; W Capital'!$D$15))*$C161*H$124</f>
        <v>0</v>
      </c>
      <c r="I161" s="95">
        <f>((H93*(1-'5.Closing Stock &amp; W Capital'!$D$15))+(G93*'5.Closing Stock &amp; W Capital'!$D$15))*$C161*I$124</f>
        <v>0</v>
      </c>
      <c r="J161" s="95">
        <f>((I93*(1-'5.Closing Stock &amp; W Capital'!$D$15))+(H93*'5.Closing Stock &amp; W Capital'!$D$15))*$C161*J$124</f>
        <v>0</v>
      </c>
    </row>
    <row r="162" spans="1:10" x14ac:dyDescent="0.2">
      <c r="A162" s="93">
        <f t="shared" si="53"/>
        <v>0</v>
      </c>
      <c r="B162" s="93"/>
      <c r="C162" s="388"/>
      <c r="D162" s="95">
        <f>(C94*(1-'5.Closing Stock &amp; W Capital'!$D$15))*$C162*D$124</f>
        <v>0</v>
      </c>
      <c r="E162" s="95">
        <f>((D94*(1-'5.Closing Stock &amp; W Capital'!$D$15))+(C94*'5.Closing Stock &amp; W Capital'!$D$15))*$C162*E$124</f>
        <v>0</v>
      </c>
      <c r="F162" s="95">
        <f>((E94*(1-'5.Closing Stock &amp; W Capital'!$D$15))+(D94*'5.Closing Stock &amp; W Capital'!$D$15))*$C162*F$124</f>
        <v>0</v>
      </c>
      <c r="G162" s="95">
        <f>((F94*(1-'5.Closing Stock &amp; W Capital'!$D$15))+(E94*'5.Closing Stock &amp; W Capital'!$D$15))*$C162*G$124</f>
        <v>0</v>
      </c>
      <c r="H162" s="95">
        <f>((G94*(1-'5.Closing Stock &amp; W Capital'!$D$15))+(F94*'5.Closing Stock &amp; W Capital'!$D$15))*$C162*H$124</f>
        <v>0</v>
      </c>
      <c r="I162" s="95">
        <f>((H94*(1-'5.Closing Stock &amp; W Capital'!$D$15))+(G94*'5.Closing Stock &amp; W Capital'!$D$15))*$C162*I$124</f>
        <v>0</v>
      </c>
      <c r="J162" s="95">
        <f>((I94*(1-'5.Closing Stock &amp; W Capital'!$D$15))+(H94*'5.Closing Stock &amp; W Capital'!$D$15))*$C162*J$124</f>
        <v>0</v>
      </c>
    </row>
    <row r="163" spans="1:10" x14ac:dyDescent="0.2">
      <c r="A163" s="93" t="str">
        <f t="shared" si="53"/>
        <v>Onion</v>
      </c>
      <c r="B163" s="93"/>
      <c r="C163" s="388"/>
      <c r="D163" s="95">
        <f>(C95*(1-'5.Closing Stock &amp; W Capital'!$D$15))*$C163*D$124</f>
        <v>0</v>
      </c>
      <c r="E163" s="95">
        <f>((D95*(1-'5.Closing Stock &amp; W Capital'!$D$15))+(C95*'5.Closing Stock &amp; W Capital'!$D$15))*$C163*E$124</f>
        <v>0</v>
      </c>
      <c r="F163" s="95">
        <f>((E95*(1-'5.Closing Stock &amp; W Capital'!$D$15))+(D95*'5.Closing Stock &amp; W Capital'!$D$15))*$C163*F$124</f>
        <v>0</v>
      </c>
      <c r="G163" s="95">
        <f>((F95*(1-'5.Closing Stock &amp; W Capital'!$D$15))+(E95*'5.Closing Stock &amp; W Capital'!$D$15))*$C163*G$124</f>
        <v>0</v>
      </c>
      <c r="H163" s="95">
        <f>((G95*(1-'5.Closing Stock &amp; W Capital'!$D$15))+(F95*'5.Closing Stock &amp; W Capital'!$D$15))*$C163*H$124</f>
        <v>0</v>
      </c>
      <c r="I163" s="95">
        <f>((H95*(1-'5.Closing Stock &amp; W Capital'!$D$15))+(G95*'5.Closing Stock &amp; W Capital'!$D$15))*$C163*I$124</f>
        <v>0</v>
      </c>
      <c r="J163" s="95">
        <f>((I95*(1-'5.Closing Stock &amp; W Capital'!$D$15))+(H95*'5.Closing Stock &amp; W Capital'!$D$15))*$C163*J$124</f>
        <v>0</v>
      </c>
    </row>
    <row r="164" spans="1:10" x14ac:dyDescent="0.2">
      <c r="A164" s="93" t="str">
        <f t="shared" si="53"/>
        <v>Tomato</v>
      </c>
      <c r="B164" s="93"/>
      <c r="C164" s="388"/>
      <c r="D164" s="95">
        <f>(C96*(1-'5.Closing Stock &amp; W Capital'!$D$15))*$C164*D$124</f>
        <v>0</v>
      </c>
      <c r="E164" s="95">
        <f>((D96*(1-'5.Closing Stock &amp; W Capital'!$D$15))+(C96*'5.Closing Stock &amp; W Capital'!$D$15))*$C164*E$124</f>
        <v>0</v>
      </c>
      <c r="F164" s="95">
        <f>((E96*(1-'5.Closing Stock &amp; W Capital'!$D$15))+(D96*'5.Closing Stock &amp; W Capital'!$D$15))*$C164*F$124</f>
        <v>0</v>
      </c>
      <c r="G164" s="95">
        <f>((F96*(1-'5.Closing Stock &amp; W Capital'!$D$15))+(E96*'5.Closing Stock &amp; W Capital'!$D$15))*$C164*G$124</f>
        <v>0</v>
      </c>
      <c r="H164" s="95">
        <f>((G96*(1-'5.Closing Stock &amp; W Capital'!$D$15))+(F96*'5.Closing Stock &amp; W Capital'!$D$15))*$C164*H$124</f>
        <v>0</v>
      </c>
      <c r="I164" s="95">
        <f>((H96*(1-'5.Closing Stock &amp; W Capital'!$D$15))+(G96*'5.Closing Stock &amp; W Capital'!$D$15))*$C164*I$124</f>
        <v>0</v>
      </c>
      <c r="J164" s="95">
        <f>((I96*(1-'5.Closing Stock &amp; W Capital'!$D$15))+(H96*'5.Closing Stock &amp; W Capital'!$D$15))*$C164*J$124</f>
        <v>0</v>
      </c>
    </row>
    <row r="165" spans="1:10" x14ac:dyDescent="0.2">
      <c r="A165" s="93" t="str">
        <f t="shared" si="53"/>
        <v>Okra</v>
      </c>
      <c r="B165" s="93"/>
      <c r="C165" s="388"/>
      <c r="D165" s="95">
        <f>(C97*(1-'5.Closing Stock &amp; W Capital'!$D$15))*$C165*D$124</f>
        <v>0</v>
      </c>
      <c r="E165" s="95">
        <f>((D97*(1-'5.Closing Stock &amp; W Capital'!$D$15))+(C97*'5.Closing Stock &amp; W Capital'!$D$15))*$C165*E$124</f>
        <v>0</v>
      </c>
      <c r="F165" s="95">
        <f>((E97*(1-'5.Closing Stock &amp; W Capital'!$D$15))+(D97*'5.Closing Stock &amp; W Capital'!$D$15))*$C165*F$124</f>
        <v>0</v>
      </c>
      <c r="G165" s="95">
        <f>((F97*(1-'5.Closing Stock &amp; W Capital'!$D$15))+(E97*'5.Closing Stock &amp; W Capital'!$D$15))*$C165*G$124</f>
        <v>0</v>
      </c>
      <c r="H165" s="95">
        <f>((G97*(1-'5.Closing Stock &amp; W Capital'!$D$15))+(F97*'5.Closing Stock &amp; W Capital'!$D$15))*$C165*H$124</f>
        <v>0</v>
      </c>
      <c r="I165" s="95">
        <f>((H97*(1-'5.Closing Stock &amp; W Capital'!$D$15))+(G97*'5.Closing Stock &amp; W Capital'!$D$15))*$C165*I$124</f>
        <v>0</v>
      </c>
      <c r="J165" s="95">
        <f>((I97*(1-'5.Closing Stock &amp; W Capital'!$D$15))+(H97*'5.Closing Stock &amp; W Capital'!$D$15))*$C165*J$124</f>
        <v>0</v>
      </c>
    </row>
    <row r="166" spans="1:10" x14ac:dyDescent="0.2">
      <c r="A166" s="93" t="str">
        <f t="shared" si="53"/>
        <v>Chilli</v>
      </c>
      <c r="B166" s="93"/>
      <c r="C166" s="388"/>
      <c r="D166" s="95">
        <f>(C98*(1-'5.Closing Stock &amp; W Capital'!$D$15))*$C166*D$124</f>
        <v>0</v>
      </c>
      <c r="E166" s="95">
        <f>((D98*(1-'5.Closing Stock &amp; W Capital'!$D$15))+(C98*'5.Closing Stock &amp; W Capital'!$D$15))*$C166*E$124</f>
        <v>0</v>
      </c>
      <c r="F166" s="95">
        <f>((E98*(1-'5.Closing Stock &amp; W Capital'!$D$15))+(D98*'5.Closing Stock &amp; W Capital'!$D$15))*$C166*F$124</f>
        <v>0</v>
      </c>
      <c r="G166" s="95">
        <f>((F98*(1-'5.Closing Stock &amp; W Capital'!$D$15))+(E98*'5.Closing Stock &amp; W Capital'!$D$15))*$C166*G$124</f>
        <v>0</v>
      </c>
      <c r="H166" s="95">
        <f>((G98*(1-'5.Closing Stock &amp; W Capital'!$D$15))+(F98*'5.Closing Stock &amp; W Capital'!$D$15))*$C166*H$124</f>
        <v>0</v>
      </c>
      <c r="I166" s="95">
        <f>((H98*(1-'5.Closing Stock &amp; W Capital'!$D$15))+(G98*'5.Closing Stock &amp; W Capital'!$D$15))*$C166*I$124</f>
        <v>0</v>
      </c>
      <c r="J166" s="95">
        <f>((I98*(1-'5.Closing Stock &amp; W Capital'!$D$15))+(H98*'5.Closing Stock &amp; W Capital'!$D$15))*$C166*J$124</f>
        <v>0</v>
      </c>
    </row>
    <row r="167" spans="1:10" x14ac:dyDescent="0.2">
      <c r="A167" s="93" t="str">
        <f t="shared" si="53"/>
        <v>Brinjal</v>
      </c>
      <c r="B167" s="93"/>
      <c r="C167" s="388"/>
      <c r="D167" s="95">
        <f>(C99*(1-'5.Closing Stock &amp; W Capital'!$D$15))*$C167*D$124</f>
        <v>0</v>
      </c>
      <c r="E167" s="95">
        <f>((D99*(1-'5.Closing Stock &amp; W Capital'!$D$15))+(C99*'5.Closing Stock &amp; W Capital'!$D$15))*$C167*E$124</f>
        <v>0</v>
      </c>
      <c r="F167" s="95">
        <f>((E99*(1-'5.Closing Stock &amp; W Capital'!$D$15))+(D99*'5.Closing Stock &amp; W Capital'!$D$15))*$C167*F$124</f>
        <v>0</v>
      </c>
      <c r="G167" s="95">
        <f>((F99*(1-'5.Closing Stock &amp; W Capital'!$D$15))+(E99*'5.Closing Stock &amp; W Capital'!$D$15))*$C167*G$124</f>
        <v>0</v>
      </c>
      <c r="H167" s="95">
        <f>((G99*(1-'5.Closing Stock &amp; W Capital'!$D$15))+(F99*'5.Closing Stock &amp; W Capital'!$D$15))*$C167*H$124</f>
        <v>0</v>
      </c>
      <c r="I167" s="95">
        <f>((H99*(1-'5.Closing Stock &amp; W Capital'!$D$15))+(G99*'5.Closing Stock &amp; W Capital'!$D$15))*$C167*I$124</f>
        <v>0</v>
      </c>
      <c r="J167" s="95">
        <f>((I99*(1-'5.Closing Stock &amp; W Capital'!$D$15))+(H99*'5.Closing Stock &amp; W Capital'!$D$15))*$C167*J$124</f>
        <v>0</v>
      </c>
    </row>
    <row r="168" spans="1:10" x14ac:dyDescent="0.2">
      <c r="A168" s="93">
        <f t="shared" si="53"/>
        <v>0</v>
      </c>
      <c r="B168" s="93"/>
      <c r="C168" s="388"/>
      <c r="D168" s="95">
        <f>(C100*(1-'5.Closing Stock &amp; W Capital'!$D$15))*$C168*D$124</f>
        <v>0</v>
      </c>
      <c r="E168" s="95">
        <f>((D100*(1-'5.Closing Stock &amp; W Capital'!$D$15))+(C100*'5.Closing Stock &amp; W Capital'!$D$15))*$C168*E$124</f>
        <v>0</v>
      </c>
      <c r="F168" s="95">
        <f>((E100*(1-'5.Closing Stock &amp; W Capital'!$D$15))+(D100*'5.Closing Stock &amp; W Capital'!$D$15))*$C168*F$124</f>
        <v>0</v>
      </c>
      <c r="G168" s="95">
        <f>((F100*(1-'5.Closing Stock &amp; W Capital'!$D$15))+(E100*'5.Closing Stock &amp; W Capital'!$D$15))*$C168*G$124</f>
        <v>0</v>
      </c>
      <c r="H168" s="95">
        <f>((G100*(1-'5.Closing Stock &amp; W Capital'!$D$15))+(F100*'5.Closing Stock &amp; W Capital'!$D$15))*$C168*H$124</f>
        <v>0</v>
      </c>
      <c r="I168" s="95">
        <f>((H100*(1-'5.Closing Stock &amp; W Capital'!$D$15))+(G100*'5.Closing Stock &amp; W Capital'!$D$15))*$C168*I$124</f>
        <v>0</v>
      </c>
      <c r="J168" s="95">
        <f>((I100*(1-'5.Closing Stock &amp; W Capital'!$D$15))+(H100*'5.Closing Stock &amp; W Capital'!$D$15))*$C168*J$124</f>
        <v>0</v>
      </c>
    </row>
    <row r="169" spans="1:10" x14ac:dyDescent="0.2">
      <c r="A169" s="93">
        <f t="shared" si="53"/>
        <v>0</v>
      </c>
      <c r="B169" s="93"/>
      <c r="C169" s="388"/>
      <c r="D169" s="95">
        <f>(C101*(1-'5.Closing Stock &amp; W Capital'!$D$15))*$C169*D$124</f>
        <v>0</v>
      </c>
      <c r="E169" s="95">
        <f>((D101*(1-'5.Closing Stock &amp; W Capital'!$D$15))+(C101*'5.Closing Stock &amp; W Capital'!$D$15))*$C169*E$124</f>
        <v>0</v>
      </c>
      <c r="F169" s="95">
        <f>((E101*(1-'5.Closing Stock &amp; W Capital'!$D$15))+(D101*'5.Closing Stock &amp; W Capital'!$D$15))*$C169*F$124</f>
        <v>0</v>
      </c>
      <c r="G169" s="95">
        <f>((F101*(1-'5.Closing Stock &amp; W Capital'!$D$15))+(E101*'5.Closing Stock &amp; W Capital'!$D$15))*$C169*G$124</f>
        <v>0</v>
      </c>
      <c r="H169" s="95">
        <f>((G101*(1-'5.Closing Stock &amp; W Capital'!$D$15))+(F101*'5.Closing Stock &amp; W Capital'!$D$15))*$C169*H$124</f>
        <v>0</v>
      </c>
      <c r="I169" s="95">
        <f>((H101*(1-'5.Closing Stock &amp; W Capital'!$D$15))+(G101*'5.Closing Stock &amp; W Capital'!$D$15))*$C169*I$124</f>
        <v>0</v>
      </c>
      <c r="J169" s="95">
        <f>((I101*(1-'5.Closing Stock &amp; W Capital'!$D$15))+(H101*'5.Closing Stock &amp; W Capital'!$D$15))*$C169*J$124</f>
        <v>0</v>
      </c>
    </row>
    <row r="170" spans="1:10" x14ac:dyDescent="0.2">
      <c r="A170" s="93">
        <f t="shared" si="53"/>
        <v>0</v>
      </c>
      <c r="B170" s="93"/>
      <c r="C170" s="388"/>
      <c r="D170" s="95">
        <f>(C102*(1-'5.Closing Stock &amp; W Capital'!$D$15))*$C170*D$124</f>
        <v>0</v>
      </c>
      <c r="E170" s="95">
        <f>((D102*(1-'5.Closing Stock &amp; W Capital'!$D$15))+(C102*'5.Closing Stock &amp; W Capital'!$D$15))*$C170*E$124</f>
        <v>0</v>
      </c>
      <c r="F170" s="95">
        <f>((E102*(1-'5.Closing Stock &amp; W Capital'!$D$15))+(D102*'5.Closing Stock &amp; W Capital'!$D$15))*$C170*F$124</f>
        <v>0</v>
      </c>
      <c r="G170" s="95">
        <f>((F102*(1-'5.Closing Stock &amp; W Capital'!$D$15))+(E102*'5.Closing Stock &amp; W Capital'!$D$15))*$C170*G$124</f>
        <v>0</v>
      </c>
      <c r="H170" s="95">
        <f>((G102*(1-'5.Closing Stock &amp; W Capital'!$D$15))+(F102*'5.Closing Stock &amp; W Capital'!$D$15))*$C170*H$124</f>
        <v>0</v>
      </c>
      <c r="I170" s="95">
        <f>((H102*(1-'5.Closing Stock &amp; W Capital'!$D$15))+(G102*'5.Closing Stock &amp; W Capital'!$D$15))*$C170*I$124</f>
        <v>0</v>
      </c>
      <c r="J170" s="95">
        <f>((I102*(1-'5.Closing Stock &amp; W Capital'!$D$15))+(H102*'5.Closing Stock &amp; W Capital'!$D$15))*$C170*J$124</f>
        <v>0</v>
      </c>
    </row>
    <row r="171" spans="1:10" x14ac:dyDescent="0.2">
      <c r="A171" s="93">
        <f t="shared" si="53"/>
        <v>0</v>
      </c>
      <c r="B171" s="93"/>
      <c r="C171" s="388"/>
      <c r="D171" s="95">
        <f>(C103*(1-'5.Closing Stock &amp; W Capital'!$D$15))*$C171*D$124</f>
        <v>0</v>
      </c>
      <c r="E171" s="95">
        <f>((D103*(1-'5.Closing Stock &amp; W Capital'!$D$15))+(C103*'5.Closing Stock &amp; W Capital'!$D$15))*$C171*E$124</f>
        <v>0</v>
      </c>
      <c r="F171" s="95">
        <f>((E103*(1-'5.Closing Stock &amp; W Capital'!$D$15))+(D103*'5.Closing Stock &amp; W Capital'!$D$15))*$C171*F$124</f>
        <v>0</v>
      </c>
      <c r="G171" s="95">
        <f>((F103*(1-'5.Closing Stock &amp; W Capital'!$D$15))+(E103*'5.Closing Stock &amp; W Capital'!$D$15))*$C171*G$124</f>
        <v>0</v>
      </c>
      <c r="H171" s="95">
        <f>((G103*(1-'5.Closing Stock &amp; W Capital'!$D$15))+(F103*'5.Closing Stock &amp; W Capital'!$D$15))*$C171*H$124</f>
        <v>0</v>
      </c>
      <c r="I171" s="95">
        <f>((H103*(1-'5.Closing Stock &amp; W Capital'!$D$15))+(G103*'5.Closing Stock &amp; W Capital'!$D$15))*$C171*I$124</f>
        <v>0</v>
      </c>
      <c r="J171" s="95">
        <f>((I103*(1-'5.Closing Stock &amp; W Capital'!$D$15))+(H103*'5.Closing Stock &amp; W Capital'!$D$15))*$C171*J$124</f>
        <v>0</v>
      </c>
    </row>
    <row r="172" spans="1:10" x14ac:dyDescent="0.2">
      <c r="A172" s="93">
        <f t="shared" si="53"/>
        <v>0</v>
      </c>
      <c r="B172" s="93"/>
      <c r="C172" s="388"/>
      <c r="D172" s="95">
        <f>(C104*(1-'5.Closing Stock &amp; W Capital'!$D$15))*$C172*D$124</f>
        <v>0</v>
      </c>
      <c r="E172" s="95">
        <f>((D104*(1-'5.Closing Stock &amp; W Capital'!$D$15))+(C104*'5.Closing Stock &amp; W Capital'!$D$15))*$C172*E$124</f>
        <v>0</v>
      </c>
      <c r="F172" s="95">
        <f>((E104*(1-'5.Closing Stock &amp; W Capital'!$D$15))+(D104*'5.Closing Stock &amp; W Capital'!$D$15))*$C172*F$124</f>
        <v>0</v>
      </c>
      <c r="G172" s="95">
        <f>((F104*(1-'5.Closing Stock &amp; W Capital'!$D$15))+(E104*'5.Closing Stock &amp; W Capital'!$D$15))*$C172*G$124</f>
        <v>0</v>
      </c>
      <c r="H172" s="95">
        <f>((G104*(1-'5.Closing Stock &amp; W Capital'!$D$15))+(F104*'5.Closing Stock &amp; W Capital'!$D$15))*$C172*H$124</f>
        <v>0</v>
      </c>
      <c r="I172" s="95">
        <f>((H104*(1-'5.Closing Stock &amp; W Capital'!$D$15))+(G104*'5.Closing Stock &amp; W Capital'!$D$15))*$C172*I$124</f>
        <v>0</v>
      </c>
      <c r="J172" s="95">
        <f>((I104*(1-'5.Closing Stock &amp; W Capital'!$D$15))+(H104*'5.Closing Stock &amp; W Capital'!$D$15))*$C172*J$124</f>
        <v>0</v>
      </c>
    </row>
    <row r="173" spans="1:10" x14ac:dyDescent="0.2">
      <c r="A173" s="93">
        <f t="shared" si="53"/>
        <v>0</v>
      </c>
      <c r="B173" s="93"/>
      <c r="C173" s="388"/>
      <c r="D173" s="95">
        <f>(C105*(1-'5.Closing Stock &amp; W Capital'!$D$15))*$C173*D$124</f>
        <v>0</v>
      </c>
      <c r="E173" s="95">
        <f>((D105*(1-'5.Closing Stock &amp; W Capital'!$D$15))+(C105*'5.Closing Stock &amp; W Capital'!$D$15))*$C173*E$124</f>
        <v>0</v>
      </c>
      <c r="F173" s="95">
        <f>((E105*(1-'5.Closing Stock &amp; W Capital'!$D$15))+(D105*'5.Closing Stock &amp; W Capital'!$D$15))*$C173*F$124</f>
        <v>0</v>
      </c>
      <c r="G173" s="95">
        <f>((F105*(1-'5.Closing Stock &amp; W Capital'!$D$15))+(E105*'5.Closing Stock &amp; W Capital'!$D$15))*$C173*G$124</f>
        <v>0</v>
      </c>
      <c r="H173" s="95">
        <f>((G105*(1-'5.Closing Stock &amp; W Capital'!$D$15))+(F105*'5.Closing Stock &amp; W Capital'!$D$15))*$C173*H$124</f>
        <v>0</v>
      </c>
      <c r="I173" s="95">
        <f>((H105*(1-'5.Closing Stock &amp; W Capital'!$D$15))+(G105*'5.Closing Stock &amp; W Capital'!$D$15))*$C173*I$124</f>
        <v>0</v>
      </c>
      <c r="J173" s="95">
        <f>((I105*(1-'5.Closing Stock &amp; W Capital'!$D$15))+(H105*'5.Closing Stock &amp; W Capital'!$D$15))*$C173*J$124</f>
        <v>0</v>
      </c>
    </row>
    <row r="174" spans="1:10" x14ac:dyDescent="0.2">
      <c r="A174" s="93">
        <f t="shared" si="53"/>
        <v>0</v>
      </c>
      <c r="B174" s="93"/>
      <c r="C174" s="388"/>
      <c r="D174" s="95">
        <f>(C106*(1-'5.Closing Stock &amp; W Capital'!$D$15))*$C174*D$124</f>
        <v>0</v>
      </c>
      <c r="E174" s="95">
        <f>((D106*(1-'5.Closing Stock &amp; W Capital'!$D$15))+(C106*'5.Closing Stock &amp; W Capital'!$D$15))*$C174*E$124</f>
        <v>0</v>
      </c>
      <c r="F174" s="95">
        <f>((E106*(1-'5.Closing Stock &amp; W Capital'!$D$15))+(D106*'5.Closing Stock &amp; W Capital'!$D$15))*$C174*F$124</f>
        <v>0</v>
      </c>
      <c r="G174" s="95">
        <f>((F106*(1-'5.Closing Stock &amp; W Capital'!$D$15))+(E106*'5.Closing Stock &amp; W Capital'!$D$15))*$C174*G$124</f>
        <v>0</v>
      </c>
      <c r="H174" s="95">
        <f>((G106*(1-'5.Closing Stock &amp; W Capital'!$D$15))+(F106*'5.Closing Stock &amp; W Capital'!$D$15))*$C174*H$124</f>
        <v>0</v>
      </c>
      <c r="I174" s="95">
        <f>((H106*(1-'5.Closing Stock &amp; W Capital'!$D$15))+(G106*'5.Closing Stock &amp; W Capital'!$D$15))*$C174*I$124</f>
        <v>0</v>
      </c>
      <c r="J174" s="95">
        <f>((I106*(1-'5.Closing Stock &amp; W Capital'!$D$15))+(H106*'5.Closing Stock &amp; W Capital'!$D$15))*$C174*J$124</f>
        <v>0</v>
      </c>
    </row>
    <row r="175" spans="1:10" x14ac:dyDescent="0.2">
      <c r="A175" s="93" t="str">
        <f t="shared" si="53"/>
        <v>Pomegranate</v>
      </c>
      <c r="B175" s="93"/>
      <c r="C175" s="388"/>
      <c r="D175" s="95">
        <f>(C107*(1-'5.Closing Stock &amp; W Capital'!$D$15))*$C175*D$124</f>
        <v>0</v>
      </c>
      <c r="E175" s="95">
        <f>((D107*(1-'5.Closing Stock &amp; W Capital'!$D$15))+(C107*'5.Closing Stock &amp; W Capital'!$D$15))*$C175*E$124</f>
        <v>0</v>
      </c>
      <c r="F175" s="95">
        <f>((E107*(1-'5.Closing Stock &amp; W Capital'!$D$15))+(D107*'5.Closing Stock &amp; W Capital'!$D$15))*$C175*F$124</f>
        <v>0</v>
      </c>
      <c r="G175" s="95">
        <f>((F107*(1-'5.Closing Stock &amp; W Capital'!$D$15))+(E107*'5.Closing Stock &amp; W Capital'!$D$15))*$C175*G$124</f>
        <v>0</v>
      </c>
      <c r="H175" s="95">
        <f>((G107*(1-'5.Closing Stock &amp; W Capital'!$D$15))+(F107*'5.Closing Stock &amp; W Capital'!$D$15))*$C175*H$124</f>
        <v>0</v>
      </c>
      <c r="I175" s="95">
        <f>((H107*(1-'5.Closing Stock &amp; W Capital'!$D$15))+(G107*'5.Closing Stock &amp; W Capital'!$D$15))*$C175*I$124</f>
        <v>0</v>
      </c>
      <c r="J175" s="95">
        <f>((I107*(1-'5.Closing Stock &amp; W Capital'!$D$15))+(H107*'5.Closing Stock &amp; W Capital'!$D$15))*$C175*J$124</f>
        <v>0</v>
      </c>
    </row>
    <row r="176" spans="1:10" x14ac:dyDescent="0.2">
      <c r="A176" s="93" t="str">
        <f t="shared" si="53"/>
        <v>Custard Apple</v>
      </c>
      <c r="B176" s="93"/>
      <c r="C176" s="388"/>
      <c r="D176" s="95">
        <f>(C108*(1-'5.Closing Stock &amp; W Capital'!$D$15))*$C176*D$124</f>
        <v>0</v>
      </c>
      <c r="E176" s="95">
        <f>((D108*(1-'5.Closing Stock &amp; W Capital'!$D$15))+(C108*'5.Closing Stock &amp; W Capital'!$D$15))*$C176*E$124</f>
        <v>0</v>
      </c>
      <c r="F176" s="95">
        <f>((E108*(1-'5.Closing Stock &amp; W Capital'!$D$15))+(D108*'5.Closing Stock &amp; W Capital'!$D$15))*$C176*F$124</f>
        <v>0</v>
      </c>
      <c r="G176" s="95">
        <f>((F108*(1-'5.Closing Stock &amp; W Capital'!$D$15))+(E108*'5.Closing Stock &amp; W Capital'!$D$15))*$C176*G$124</f>
        <v>0</v>
      </c>
      <c r="H176" s="95">
        <f>((G108*(1-'5.Closing Stock &amp; W Capital'!$D$15))+(F108*'5.Closing Stock &amp; W Capital'!$D$15))*$C176*H$124</f>
        <v>0</v>
      </c>
      <c r="I176" s="95">
        <f>((H108*(1-'5.Closing Stock &amp; W Capital'!$D$15))+(G108*'5.Closing Stock &amp; W Capital'!$D$15))*$C176*I$124</f>
        <v>0</v>
      </c>
      <c r="J176" s="95">
        <f>((I108*(1-'5.Closing Stock &amp; W Capital'!$D$15))+(H108*'5.Closing Stock &amp; W Capital'!$D$15))*$C176*J$124</f>
        <v>0</v>
      </c>
    </row>
    <row r="177" spans="1:23" x14ac:dyDescent="0.2">
      <c r="A177" s="93" t="str">
        <f t="shared" si="53"/>
        <v>Guava</v>
      </c>
      <c r="B177" s="93"/>
      <c r="C177" s="388"/>
      <c r="D177" s="95">
        <f>(C109*(1-'5.Closing Stock &amp; W Capital'!$D$15))*$C177*D$124</f>
        <v>0</v>
      </c>
      <c r="E177" s="95">
        <f>((D109*(1-'5.Closing Stock &amp; W Capital'!$D$15))+(C109*'5.Closing Stock &amp; W Capital'!$D$15))*$C177*E$124</f>
        <v>0</v>
      </c>
      <c r="F177" s="95">
        <f>((E109*(1-'5.Closing Stock &amp; W Capital'!$D$15))+(D109*'5.Closing Stock &amp; W Capital'!$D$15))*$C177*F$124</f>
        <v>0</v>
      </c>
      <c r="G177" s="95">
        <f>((F109*(1-'5.Closing Stock &amp; W Capital'!$D$15))+(E109*'5.Closing Stock &amp; W Capital'!$D$15))*$C177*G$124</f>
        <v>0</v>
      </c>
      <c r="H177" s="95">
        <f>((G109*(1-'5.Closing Stock &amp; W Capital'!$D$15))+(F109*'5.Closing Stock &amp; W Capital'!$D$15))*$C177*H$124</f>
        <v>0</v>
      </c>
      <c r="I177" s="95">
        <f>((H109*(1-'5.Closing Stock &amp; W Capital'!$D$15))+(G109*'5.Closing Stock &amp; W Capital'!$D$15))*$C177*I$124</f>
        <v>0</v>
      </c>
      <c r="J177" s="95">
        <f>((I109*(1-'5.Closing Stock &amp; W Capital'!$D$15))+(H109*'5.Closing Stock &amp; W Capital'!$D$15))*$C177*J$124</f>
        <v>0</v>
      </c>
    </row>
    <row r="178" spans="1:23" x14ac:dyDescent="0.2">
      <c r="A178" s="93" t="str">
        <f t="shared" si="53"/>
        <v>Citrus</v>
      </c>
      <c r="B178" s="93"/>
      <c r="C178" s="388"/>
      <c r="D178" s="95">
        <f>(C110*(1-'5.Closing Stock &amp; W Capital'!$D$15))*$C178*D$124</f>
        <v>0</v>
      </c>
      <c r="E178" s="95">
        <f>((D110*(1-'5.Closing Stock &amp; W Capital'!$D$15))+(C110*'5.Closing Stock &amp; W Capital'!$D$15))*$C178*E$124</f>
        <v>0</v>
      </c>
      <c r="F178" s="95">
        <f>((E110*(1-'5.Closing Stock &amp; W Capital'!$D$15))+(D110*'5.Closing Stock &amp; W Capital'!$D$15))*$C178*F$124</f>
        <v>0</v>
      </c>
      <c r="G178" s="95">
        <f>((F110*(1-'5.Closing Stock &amp; W Capital'!$D$15))+(E110*'5.Closing Stock &amp; W Capital'!$D$15))*$C178*G$124</f>
        <v>0</v>
      </c>
      <c r="H178" s="95">
        <f>((G110*(1-'5.Closing Stock &amp; W Capital'!$D$15))+(F110*'5.Closing Stock &amp; W Capital'!$D$15))*$C178*H$124</f>
        <v>0</v>
      </c>
      <c r="I178" s="95">
        <f>((H110*(1-'5.Closing Stock &amp; W Capital'!$D$15))+(G110*'5.Closing Stock &amp; W Capital'!$D$15))*$C178*I$124</f>
        <v>0</v>
      </c>
      <c r="J178" s="95">
        <f>((I110*(1-'5.Closing Stock &amp; W Capital'!$D$15))+(H110*'5.Closing Stock &amp; W Capital'!$D$15))*$C178*J$124</f>
        <v>0</v>
      </c>
    </row>
    <row r="179" spans="1:23" x14ac:dyDescent="0.2">
      <c r="A179" s="93">
        <f t="shared" si="53"/>
        <v>0</v>
      </c>
      <c r="B179" s="93"/>
      <c r="C179" s="388"/>
      <c r="D179" s="95"/>
      <c r="E179" s="95"/>
      <c r="F179" s="95"/>
      <c r="G179" s="95"/>
      <c r="H179" s="95"/>
      <c r="I179" s="95"/>
      <c r="J179" s="95"/>
    </row>
    <row r="180" spans="1:23" x14ac:dyDescent="0.2">
      <c r="A180" s="93"/>
      <c r="B180" s="93"/>
      <c r="C180" s="95"/>
      <c r="D180" s="95"/>
      <c r="E180" s="95"/>
      <c r="F180" s="95"/>
      <c r="G180" s="95"/>
      <c r="H180" s="95"/>
      <c r="I180" s="95"/>
      <c r="J180" s="95"/>
    </row>
    <row r="181" spans="1:23" x14ac:dyDescent="0.2">
      <c r="A181" s="93" t="s">
        <v>284</v>
      </c>
      <c r="B181" s="93"/>
      <c r="C181" s="95" t="s">
        <v>694</v>
      </c>
      <c r="D181" s="95"/>
      <c r="E181" s="95"/>
      <c r="F181" s="95"/>
      <c r="G181" s="95"/>
      <c r="H181" s="95"/>
      <c r="I181" s="95"/>
      <c r="J181" s="95"/>
    </row>
    <row r="182" spans="1:23" x14ac:dyDescent="0.2">
      <c r="A182" s="93" t="s">
        <v>394</v>
      </c>
      <c r="B182" s="93"/>
      <c r="C182" s="388">
        <f>350/50</f>
        <v>7</v>
      </c>
      <c r="D182" s="95">
        <f>(C114*(1-'5.Closing Stock &amp; W Capital'!$D$15))*$C$182*D124</f>
        <v>0</v>
      </c>
      <c r="E182" s="95">
        <f>((D114*(1-'5.Closing Stock &amp; W Capital'!$D$15))+(C114*'5.Closing Stock &amp; W Capital'!$D$15))*$C$182*E124</f>
        <v>0</v>
      </c>
      <c r="F182" s="95">
        <f>((E114*(1-'5.Closing Stock &amp; W Capital'!$D$15))+(D114*'5.Closing Stock &amp; W Capital'!$D$15))*$C$182*F124</f>
        <v>0</v>
      </c>
      <c r="G182" s="95">
        <f>((F114*(1-'5.Closing Stock &amp; W Capital'!$D$15))+(E114*'5.Closing Stock &amp; W Capital'!$D$15))*$C$182*G124</f>
        <v>0</v>
      </c>
      <c r="H182" s="95">
        <f>((G114*(1-'5.Closing Stock &amp; W Capital'!$D$15))+(F114*'5.Closing Stock &amp; W Capital'!$D$15))*$C$182*H124</f>
        <v>0</v>
      </c>
      <c r="I182" s="95">
        <f>((H114*(1-'5.Closing Stock &amp; W Capital'!$D$15))+(G114*'5.Closing Stock &amp; W Capital'!$D$15))*$C$182*I124</f>
        <v>0</v>
      </c>
      <c r="J182" s="95">
        <f>((I114*(1-'5.Closing Stock &amp; W Capital'!$D$15))+(H114*'5.Closing Stock &amp; W Capital'!$D$15))*$C$182*J124</f>
        <v>0</v>
      </c>
    </row>
    <row r="183" spans="1:23" x14ac:dyDescent="0.2">
      <c r="A183" s="93" t="s">
        <v>178</v>
      </c>
      <c r="B183" s="93"/>
      <c r="C183" s="388">
        <v>8</v>
      </c>
      <c r="D183" s="95">
        <f>(C115*(1-'5.Closing Stock &amp; W Capital'!$D$15))*$C$183*D124</f>
        <v>0</v>
      </c>
      <c r="E183" s="95">
        <f>((D115*(1-'5.Closing Stock &amp; W Capital'!$D$15))+(C115*'5.Closing Stock &amp; W Capital'!$D$15))*$C$183*E124</f>
        <v>0</v>
      </c>
      <c r="F183" s="95">
        <f>((E115*(1-'5.Closing Stock &amp; W Capital'!$D$15))+(D115*'5.Closing Stock &amp; W Capital'!$D$15))*$C$183*F124</f>
        <v>0</v>
      </c>
      <c r="G183" s="95">
        <f>((F115*(1-'5.Closing Stock &amp; W Capital'!$D$15))+(E115*'5.Closing Stock &amp; W Capital'!$D$15))*$C$183*G124</f>
        <v>0</v>
      </c>
      <c r="H183" s="95">
        <f>((G115*(1-'5.Closing Stock &amp; W Capital'!$D$15))+(F115*'5.Closing Stock &amp; W Capital'!$D$15))*$C$183*H124</f>
        <v>0</v>
      </c>
      <c r="I183" s="95">
        <f>((H115*(1-'5.Closing Stock &amp; W Capital'!$D$15))+(G115*'5.Closing Stock &amp; W Capital'!$D$15))*$C$183*I124</f>
        <v>0</v>
      </c>
      <c r="J183" s="95">
        <f>((I115*(1-'5.Closing Stock &amp; W Capital'!$D$15))+(H115*'5.Closing Stock &amp; W Capital'!$D$15))*$C$183*J124</f>
        <v>0</v>
      </c>
    </row>
    <row r="184" spans="1:23" x14ac:dyDescent="0.2">
      <c r="A184" s="93" t="s">
        <v>180</v>
      </c>
      <c r="B184" s="93"/>
      <c r="C184" s="388">
        <v>30</v>
      </c>
      <c r="D184" s="95">
        <f>(C116*(1-'5.Closing Stock &amp; W Capital'!$D$15))*$C$184*D124</f>
        <v>0</v>
      </c>
      <c r="E184" s="95">
        <f>((D116*(1-'5.Closing Stock &amp; W Capital'!$D$15))+(C116*'5.Closing Stock &amp; W Capital'!$D$15))*$C$184*E124</f>
        <v>0</v>
      </c>
      <c r="F184" s="95">
        <f>((E116*(1-'5.Closing Stock &amp; W Capital'!$D$15))+(D116*'5.Closing Stock &amp; W Capital'!$D$15))*$C$184*F124</f>
        <v>0</v>
      </c>
      <c r="G184" s="95">
        <f>((F116*(1-'5.Closing Stock &amp; W Capital'!$D$15))+(E116*'5.Closing Stock &amp; W Capital'!$D$15))*$C$184*G124</f>
        <v>0</v>
      </c>
      <c r="H184" s="95">
        <f>((G116*(1-'5.Closing Stock &amp; W Capital'!$D$15))+(F116*'5.Closing Stock &amp; W Capital'!$D$15))*$C$184*H124</f>
        <v>0</v>
      </c>
      <c r="I184" s="95">
        <f>((H116*(1-'5.Closing Stock &amp; W Capital'!$D$15))+(G116*'5.Closing Stock &amp; W Capital'!$D$15))*$C$184*I124</f>
        <v>0</v>
      </c>
      <c r="J184" s="95">
        <f>((I116*(1-'5.Closing Stock &amp; W Capital'!$D$15))+(H116*'5.Closing Stock &amp; W Capital'!$D$15))*$C$184*J124</f>
        <v>0</v>
      </c>
    </row>
    <row r="185" spans="1:23" x14ac:dyDescent="0.2">
      <c r="A185" s="93"/>
      <c r="B185" s="93"/>
      <c r="C185" s="95"/>
      <c r="D185" s="95"/>
      <c r="E185" s="95"/>
      <c r="F185" s="95"/>
      <c r="G185" s="95"/>
      <c r="H185" s="95"/>
      <c r="I185" s="95"/>
      <c r="J185" s="95"/>
    </row>
    <row r="186" spans="1:23" x14ac:dyDescent="0.2">
      <c r="A186" s="93" t="s">
        <v>179</v>
      </c>
      <c r="B186" s="93"/>
      <c r="C186" s="95" t="s">
        <v>695</v>
      </c>
      <c r="D186" s="95"/>
      <c r="E186" s="95"/>
      <c r="F186" s="95"/>
      <c r="G186" s="95"/>
      <c r="H186" s="95"/>
      <c r="I186" s="95"/>
      <c r="J186" s="95"/>
    </row>
    <row r="187" spans="1:23" x14ac:dyDescent="0.2">
      <c r="A187" s="93" t="s">
        <v>183</v>
      </c>
      <c r="B187" s="93"/>
      <c r="C187" s="388">
        <v>3000</v>
      </c>
      <c r="D187" s="95">
        <f>(C118*(1-'5.Closing Stock &amp; W Capital'!$D$15))*$C$187*D124</f>
        <v>0</v>
      </c>
      <c r="E187" s="95">
        <f>((D118*(1-'5.Closing Stock &amp; W Capital'!$D$15))+(C118*'5.Closing Stock &amp; W Capital'!$D$15))*$C$187*E124</f>
        <v>0</v>
      </c>
      <c r="F187" s="95">
        <f>((E118*(1-'5.Closing Stock &amp; W Capital'!$D$15))+(D118*'5.Closing Stock &amp; W Capital'!$D$15))*$C$187*F124</f>
        <v>0</v>
      </c>
      <c r="G187" s="95">
        <f>((F118*(1-'5.Closing Stock &amp; W Capital'!$D$15))+(E118*'5.Closing Stock &amp; W Capital'!$D$15))*$C$187*G124</f>
        <v>0</v>
      </c>
      <c r="H187" s="95">
        <f>((G118*(1-'5.Closing Stock &amp; W Capital'!$D$15))+(F118*'5.Closing Stock &amp; W Capital'!$D$15))*$C$187*H124</f>
        <v>0</v>
      </c>
      <c r="I187" s="95">
        <f>((H118*(1-'5.Closing Stock &amp; W Capital'!$D$15))+(G118*'5.Closing Stock &amp; W Capital'!$D$15))*$C$187*I124</f>
        <v>0</v>
      </c>
      <c r="J187" s="95">
        <f>((I118*(1-'5.Closing Stock &amp; W Capital'!$D$15))+(H118*'5.Closing Stock &amp; W Capital'!$D$15))*$C$187*J124</f>
        <v>0</v>
      </c>
      <c r="U187" s="141"/>
      <c r="V187" s="141"/>
      <c r="W187" s="141"/>
    </row>
    <row r="188" spans="1:23" x14ac:dyDescent="0.2">
      <c r="A188" s="93" t="s">
        <v>184</v>
      </c>
      <c r="B188" s="93"/>
      <c r="C188" s="388">
        <v>2200</v>
      </c>
      <c r="D188" s="95">
        <f>(C119*(1-'5.Closing Stock &amp; W Capital'!$D$15))*$C$188*D124</f>
        <v>0</v>
      </c>
      <c r="E188" s="95">
        <f>((D119*(1-'5.Closing Stock &amp; W Capital'!$D$15))+(C119*'5.Closing Stock &amp; W Capital'!$D$15))*$C$188*E124</f>
        <v>0</v>
      </c>
      <c r="F188" s="95">
        <f>((E119*(1-'5.Closing Stock &amp; W Capital'!$D$15))+(D119*'5.Closing Stock &amp; W Capital'!$D$15))*$C$188*F124</f>
        <v>0</v>
      </c>
      <c r="G188" s="95">
        <f>((F119*(1-'5.Closing Stock &amp; W Capital'!$D$15))+(E119*'5.Closing Stock &amp; W Capital'!$D$15))*$C$188*G124</f>
        <v>0</v>
      </c>
      <c r="H188" s="95">
        <f>((G119*(1-'5.Closing Stock &amp; W Capital'!$D$15))+(F119*'5.Closing Stock &amp; W Capital'!$D$15))*$C$188*H124</f>
        <v>0</v>
      </c>
      <c r="I188" s="95">
        <f>((H119*(1-'5.Closing Stock &amp; W Capital'!$D$15))+(G119*'5.Closing Stock &amp; W Capital'!$D$15))*$C$188*I124</f>
        <v>0</v>
      </c>
      <c r="J188" s="95">
        <f>((I119*(1-'5.Closing Stock &amp; W Capital'!$D$15))+(H119*'5.Closing Stock &amp; W Capital'!$D$15))*$C$188*J124</f>
        <v>0</v>
      </c>
    </row>
    <row r="189" spans="1:23" x14ac:dyDescent="0.2">
      <c r="A189" s="93"/>
      <c r="B189" s="93"/>
      <c r="C189" s="95"/>
      <c r="D189" s="95"/>
      <c r="E189" s="95"/>
      <c r="F189" s="95"/>
      <c r="G189" s="95"/>
      <c r="H189" s="95"/>
      <c r="I189" s="95"/>
      <c r="J189" s="95"/>
    </row>
    <row r="190" spans="1:23" x14ac:dyDescent="0.2">
      <c r="A190" s="93"/>
      <c r="B190" s="93"/>
      <c r="C190" s="95"/>
      <c r="D190" s="95"/>
      <c r="E190" s="95"/>
      <c r="F190" s="95"/>
      <c r="G190" s="95"/>
      <c r="H190" s="95"/>
      <c r="I190" s="95"/>
      <c r="J190" s="95"/>
    </row>
    <row r="191" spans="1:23" x14ac:dyDescent="0.2">
      <c r="A191" s="98" t="s">
        <v>143</v>
      </c>
      <c r="B191" s="98"/>
      <c r="C191" s="104"/>
      <c r="D191" s="104">
        <f>SUM(D130:D190)</f>
        <v>0</v>
      </c>
      <c r="E191" s="104">
        <f t="shared" ref="E191:J191" si="54">SUM(E130:E190)</f>
        <v>0</v>
      </c>
      <c r="F191" s="104">
        <f t="shared" si="54"/>
        <v>0</v>
      </c>
      <c r="G191" s="104">
        <f t="shared" si="54"/>
        <v>0</v>
      </c>
      <c r="H191" s="104">
        <f t="shared" si="54"/>
        <v>0</v>
      </c>
      <c r="I191" s="104">
        <f t="shared" si="54"/>
        <v>0</v>
      </c>
      <c r="J191" s="104">
        <f t="shared" si="54"/>
        <v>0</v>
      </c>
    </row>
    <row r="192" spans="1:23" x14ac:dyDescent="0.2">
      <c r="A192" s="93"/>
      <c r="B192" s="93"/>
      <c r="C192" s="95"/>
      <c r="D192" s="95"/>
      <c r="E192" s="95"/>
      <c r="F192" s="95"/>
      <c r="G192" s="95"/>
      <c r="H192" s="95"/>
      <c r="I192" s="95"/>
      <c r="J192" s="95"/>
    </row>
    <row r="193" spans="1:10" x14ac:dyDescent="0.2">
      <c r="A193" s="93"/>
      <c r="B193" s="93"/>
      <c r="C193" s="95"/>
      <c r="D193" s="95"/>
      <c r="E193" s="95"/>
      <c r="F193" s="95"/>
      <c r="G193" s="95"/>
      <c r="H193" s="95"/>
      <c r="I193" s="95"/>
      <c r="J193" s="95"/>
    </row>
    <row r="194" spans="1:10" x14ac:dyDescent="0.2">
      <c r="A194" s="98" t="s">
        <v>142</v>
      </c>
      <c r="B194" s="98"/>
      <c r="C194" s="95"/>
      <c r="D194" s="95"/>
      <c r="E194" s="95"/>
      <c r="F194" s="95"/>
      <c r="G194" s="95"/>
      <c r="H194" s="95"/>
      <c r="I194" s="95"/>
      <c r="J194" s="95"/>
    </row>
    <row r="195" spans="1:10" x14ac:dyDescent="0.2">
      <c r="A195" s="98" t="str">
        <f>A128</f>
        <v>Seeds (Rate/KG)</v>
      </c>
      <c r="B195" s="98"/>
      <c r="C195" s="95"/>
      <c r="D195" s="95"/>
      <c r="E195" s="95"/>
      <c r="F195" s="95"/>
      <c r="G195" s="95"/>
      <c r="H195" s="95"/>
      <c r="I195" s="95"/>
      <c r="J195" s="95"/>
    </row>
    <row r="196" spans="1:10" x14ac:dyDescent="0.2">
      <c r="A196" s="98" t="s">
        <v>306</v>
      </c>
      <c r="B196" s="93"/>
      <c r="C196" s="93"/>
      <c r="D196" s="93"/>
      <c r="E196" s="93"/>
      <c r="F196" s="93"/>
      <c r="G196" s="93"/>
      <c r="H196" s="93"/>
      <c r="I196" s="93"/>
      <c r="J196" s="93"/>
    </row>
    <row r="197" spans="1:10" x14ac:dyDescent="0.2">
      <c r="A197" s="98" t="s">
        <v>697</v>
      </c>
      <c r="B197" s="93"/>
      <c r="C197" s="93"/>
      <c r="D197" s="93"/>
      <c r="E197" s="93"/>
      <c r="F197" s="93"/>
      <c r="G197" s="93"/>
      <c r="H197" s="93"/>
      <c r="I197" s="93"/>
      <c r="J197" s="93"/>
    </row>
    <row r="198" spans="1:10" x14ac:dyDescent="0.2">
      <c r="A198" s="396" t="str">
        <f t="shared" ref="A198:A239" si="55">A130</f>
        <v>Soybean</v>
      </c>
      <c r="C198" s="397">
        <v>85</v>
      </c>
      <c r="D198" s="398">
        <f t="shared" ref="D198:J207" si="56">C62*$C198*D$124</f>
        <v>0</v>
      </c>
      <c r="E198" s="398">
        <f t="shared" si="56"/>
        <v>0</v>
      </c>
      <c r="F198" s="398">
        <f t="shared" si="56"/>
        <v>0</v>
      </c>
      <c r="G198" s="398">
        <f t="shared" si="56"/>
        <v>0</v>
      </c>
      <c r="H198" s="398">
        <f t="shared" si="56"/>
        <v>0</v>
      </c>
      <c r="I198" s="398">
        <f t="shared" si="56"/>
        <v>0</v>
      </c>
      <c r="J198" s="398">
        <f t="shared" si="56"/>
        <v>0</v>
      </c>
    </row>
    <row r="199" spans="1:10" x14ac:dyDescent="0.2">
      <c r="A199" s="93" t="str">
        <f t="shared" si="55"/>
        <v>Red Gram/Tur</v>
      </c>
      <c r="B199" s="93"/>
      <c r="C199" s="388">
        <v>75</v>
      </c>
      <c r="D199" s="95">
        <f t="shared" si="56"/>
        <v>0</v>
      </c>
      <c r="E199" s="95">
        <f t="shared" si="56"/>
        <v>0</v>
      </c>
      <c r="F199" s="95">
        <f t="shared" si="56"/>
        <v>0</v>
      </c>
      <c r="G199" s="95">
        <f t="shared" si="56"/>
        <v>0</v>
      </c>
      <c r="H199" s="95">
        <f t="shared" si="56"/>
        <v>0</v>
      </c>
      <c r="I199" s="95">
        <f t="shared" si="56"/>
        <v>0</v>
      </c>
      <c r="J199" s="95">
        <f t="shared" si="56"/>
        <v>0</v>
      </c>
    </row>
    <row r="200" spans="1:10" x14ac:dyDescent="0.2">
      <c r="A200" s="93" t="str">
        <f t="shared" si="55"/>
        <v>Paddy/Rice</v>
      </c>
      <c r="B200" s="93"/>
      <c r="C200" s="388">
        <v>57</v>
      </c>
      <c r="D200" s="95">
        <f t="shared" si="56"/>
        <v>0</v>
      </c>
      <c r="E200" s="95">
        <f t="shared" si="56"/>
        <v>0</v>
      </c>
      <c r="F200" s="95">
        <f t="shared" si="56"/>
        <v>0</v>
      </c>
      <c r="G200" s="95">
        <f t="shared" si="56"/>
        <v>0</v>
      </c>
      <c r="H200" s="95">
        <f t="shared" si="56"/>
        <v>0</v>
      </c>
      <c r="I200" s="95">
        <f t="shared" si="56"/>
        <v>0</v>
      </c>
      <c r="J200" s="95">
        <f t="shared" si="56"/>
        <v>0</v>
      </c>
    </row>
    <row r="201" spans="1:10" x14ac:dyDescent="0.2">
      <c r="A201" s="93" t="str">
        <f t="shared" si="55"/>
        <v>Green Gram/ Moong</v>
      </c>
      <c r="B201" s="93"/>
      <c r="C201" s="388">
        <v>80</v>
      </c>
      <c r="D201" s="95">
        <f t="shared" si="56"/>
        <v>0</v>
      </c>
      <c r="E201" s="95">
        <f t="shared" si="56"/>
        <v>0</v>
      </c>
      <c r="F201" s="95">
        <f t="shared" si="56"/>
        <v>0</v>
      </c>
      <c r="G201" s="95">
        <f t="shared" si="56"/>
        <v>0</v>
      </c>
      <c r="H201" s="95">
        <f t="shared" si="56"/>
        <v>0</v>
      </c>
      <c r="I201" s="95">
        <f t="shared" si="56"/>
        <v>0</v>
      </c>
      <c r="J201" s="95">
        <f t="shared" si="56"/>
        <v>0</v>
      </c>
    </row>
    <row r="202" spans="1:10" x14ac:dyDescent="0.2">
      <c r="A202" s="93" t="str">
        <f t="shared" si="55"/>
        <v>Maize</v>
      </c>
      <c r="B202" s="93"/>
      <c r="C202" s="388">
        <v>25</v>
      </c>
      <c r="D202" s="95">
        <f t="shared" si="56"/>
        <v>0</v>
      </c>
      <c r="E202" s="95">
        <f t="shared" si="56"/>
        <v>0</v>
      </c>
      <c r="F202" s="95">
        <f t="shared" si="56"/>
        <v>0</v>
      </c>
      <c r="G202" s="95">
        <f t="shared" si="56"/>
        <v>0</v>
      </c>
      <c r="H202" s="95">
        <f t="shared" si="56"/>
        <v>0</v>
      </c>
      <c r="I202" s="95">
        <f t="shared" si="56"/>
        <v>0</v>
      </c>
      <c r="J202" s="95">
        <f t="shared" si="56"/>
        <v>0</v>
      </c>
    </row>
    <row r="203" spans="1:10" x14ac:dyDescent="0.2">
      <c r="A203" s="93" t="str">
        <f t="shared" si="55"/>
        <v>Black Gram/Udid</v>
      </c>
      <c r="B203" s="93"/>
      <c r="C203" s="388">
        <v>70</v>
      </c>
      <c r="D203" s="95">
        <f t="shared" si="56"/>
        <v>0</v>
      </c>
      <c r="E203" s="95">
        <f t="shared" si="56"/>
        <v>0</v>
      </c>
      <c r="F203" s="95">
        <f t="shared" si="56"/>
        <v>0</v>
      </c>
      <c r="G203" s="95">
        <f t="shared" si="56"/>
        <v>0</v>
      </c>
      <c r="H203" s="95">
        <f t="shared" si="56"/>
        <v>0</v>
      </c>
      <c r="I203" s="95">
        <f t="shared" si="56"/>
        <v>0</v>
      </c>
      <c r="J203" s="95">
        <f t="shared" si="56"/>
        <v>0</v>
      </c>
    </row>
    <row r="204" spans="1:10" x14ac:dyDescent="0.2">
      <c r="A204" s="93" t="str">
        <f t="shared" si="55"/>
        <v>Bajra</v>
      </c>
      <c r="B204" s="93"/>
      <c r="C204" s="388">
        <v>25</v>
      </c>
      <c r="D204" s="95">
        <f t="shared" si="56"/>
        <v>0</v>
      </c>
      <c r="E204" s="95">
        <f t="shared" si="56"/>
        <v>0</v>
      </c>
      <c r="F204" s="95">
        <f t="shared" si="56"/>
        <v>0</v>
      </c>
      <c r="G204" s="95">
        <f t="shared" si="56"/>
        <v>0</v>
      </c>
      <c r="H204" s="95">
        <f t="shared" si="56"/>
        <v>0</v>
      </c>
      <c r="I204" s="95">
        <f t="shared" si="56"/>
        <v>0</v>
      </c>
      <c r="J204" s="95">
        <f t="shared" si="56"/>
        <v>0</v>
      </c>
    </row>
    <row r="205" spans="1:10" x14ac:dyDescent="0.2">
      <c r="A205" s="93" t="str">
        <f t="shared" si="55"/>
        <v>Jawar</v>
      </c>
      <c r="B205" s="93"/>
      <c r="C205" s="388">
        <v>25</v>
      </c>
      <c r="D205" s="95">
        <f t="shared" si="56"/>
        <v>0</v>
      </c>
      <c r="E205" s="95">
        <f t="shared" si="56"/>
        <v>0</v>
      </c>
      <c r="F205" s="95">
        <f t="shared" si="56"/>
        <v>0</v>
      </c>
      <c r="G205" s="95">
        <f t="shared" si="56"/>
        <v>0</v>
      </c>
      <c r="H205" s="95">
        <f t="shared" si="56"/>
        <v>0</v>
      </c>
      <c r="I205" s="95">
        <f t="shared" si="56"/>
        <v>0</v>
      </c>
      <c r="J205" s="95">
        <f t="shared" si="56"/>
        <v>0</v>
      </c>
    </row>
    <row r="206" spans="1:10" x14ac:dyDescent="0.2">
      <c r="A206" s="98" t="str">
        <f t="shared" si="55"/>
        <v>Rabi Crop</v>
      </c>
      <c r="B206" s="93"/>
      <c r="C206" s="388"/>
      <c r="D206" s="95">
        <f t="shared" si="56"/>
        <v>0</v>
      </c>
      <c r="E206" s="95">
        <f t="shared" si="56"/>
        <v>0</v>
      </c>
      <c r="F206" s="95">
        <f t="shared" si="56"/>
        <v>0</v>
      </c>
      <c r="G206" s="95">
        <f t="shared" si="56"/>
        <v>0</v>
      </c>
      <c r="H206" s="95">
        <f t="shared" si="56"/>
        <v>0</v>
      </c>
      <c r="I206" s="95">
        <f t="shared" si="56"/>
        <v>0</v>
      </c>
      <c r="J206" s="95">
        <f t="shared" si="56"/>
        <v>0</v>
      </c>
    </row>
    <row r="207" spans="1:10" x14ac:dyDescent="0.2">
      <c r="A207" s="93" t="str">
        <f t="shared" si="55"/>
        <v>Wheat</v>
      </c>
      <c r="B207" s="93"/>
      <c r="C207" s="388">
        <v>35</v>
      </c>
      <c r="D207" s="95">
        <f t="shared" si="56"/>
        <v>0</v>
      </c>
      <c r="E207" s="95">
        <f t="shared" si="56"/>
        <v>0</v>
      </c>
      <c r="F207" s="95">
        <f t="shared" si="56"/>
        <v>0</v>
      </c>
      <c r="G207" s="95">
        <f t="shared" si="56"/>
        <v>0</v>
      </c>
      <c r="H207" s="95">
        <f t="shared" si="56"/>
        <v>0</v>
      </c>
      <c r="I207" s="95">
        <f t="shared" si="56"/>
        <v>0</v>
      </c>
      <c r="J207" s="95">
        <f t="shared" si="56"/>
        <v>0</v>
      </c>
    </row>
    <row r="208" spans="1:10" x14ac:dyDescent="0.2">
      <c r="A208" s="93" t="str">
        <f t="shared" si="55"/>
        <v>Bengal Gram/Channa</v>
      </c>
      <c r="B208" s="93"/>
      <c r="C208" s="388">
        <v>70</v>
      </c>
      <c r="D208" s="95">
        <f t="shared" ref="D208:J217" si="57">C72*$C208*D$124</f>
        <v>0</v>
      </c>
      <c r="E208" s="95">
        <f t="shared" si="57"/>
        <v>0</v>
      </c>
      <c r="F208" s="95">
        <f t="shared" si="57"/>
        <v>0</v>
      </c>
      <c r="G208" s="95">
        <f t="shared" si="57"/>
        <v>0</v>
      </c>
      <c r="H208" s="95">
        <f t="shared" si="57"/>
        <v>0</v>
      </c>
      <c r="I208" s="95">
        <f t="shared" si="57"/>
        <v>0</v>
      </c>
      <c r="J208" s="95">
        <f t="shared" si="57"/>
        <v>0</v>
      </c>
    </row>
    <row r="209" spans="1:10" x14ac:dyDescent="0.2">
      <c r="A209" s="93" t="str">
        <f t="shared" si="55"/>
        <v>Jawar</v>
      </c>
      <c r="B209" s="93"/>
      <c r="C209" s="388">
        <v>25</v>
      </c>
      <c r="D209" s="95">
        <f t="shared" si="57"/>
        <v>0</v>
      </c>
      <c r="E209" s="95">
        <f t="shared" si="57"/>
        <v>0</v>
      </c>
      <c r="F209" s="95">
        <f t="shared" si="57"/>
        <v>0</v>
      </c>
      <c r="G209" s="95">
        <f t="shared" si="57"/>
        <v>0</v>
      </c>
      <c r="H209" s="95">
        <f t="shared" si="57"/>
        <v>0</v>
      </c>
      <c r="I209" s="95">
        <f t="shared" si="57"/>
        <v>0</v>
      </c>
      <c r="J209" s="95">
        <f t="shared" si="57"/>
        <v>0</v>
      </c>
    </row>
    <row r="210" spans="1:10" x14ac:dyDescent="0.2">
      <c r="A210" s="93" t="str">
        <f t="shared" si="55"/>
        <v>Maize</v>
      </c>
      <c r="B210" s="93"/>
      <c r="C210" s="388">
        <v>25</v>
      </c>
      <c r="D210" s="95">
        <f t="shared" si="57"/>
        <v>0</v>
      </c>
      <c r="E210" s="95">
        <f t="shared" si="57"/>
        <v>0</v>
      </c>
      <c r="F210" s="95">
        <f t="shared" si="57"/>
        <v>0</v>
      </c>
      <c r="G210" s="95">
        <f t="shared" si="57"/>
        <v>0</v>
      </c>
      <c r="H210" s="95">
        <f t="shared" si="57"/>
        <v>0</v>
      </c>
      <c r="I210" s="95">
        <f t="shared" si="57"/>
        <v>0</v>
      </c>
      <c r="J210" s="95">
        <f t="shared" si="57"/>
        <v>0</v>
      </c>
    </row>
    <row r="211" spans="1:10" x14ac:dyDescent="0.2">
      <c r="A211" s="93" t="str">
        <f t="shared" si="55"/>
        <v>Safflower</v>
      </c>
      <c r="B211" s="93"/>
      <c r="C211" s="388">
        <v>25</v>
      </c>
      <c r="D211" s="95">
        <f t="shared" si="57"/>
        <v>0</v>
      </c>
      <c r="E211" s="95">
        <f t="shared" si="57"/>
        <v>0</v>
      </c>
      <c r="F211" s="95">
        <f t="shared" si="57"/>
        <v>0</v>
      </c>
      <c r="G211" s="95">
        <f t="shared" si="57"/>
        <v>0</v>
      </c>
      <c r="H211" s="95">
        <f t="shared" si="57"/>
        <v>0</v>
      </c>
      <c r="I211" s="95">
        <f t="shared" si="57"/>
        <v>0</v>
      </c>
      <c r="J211" s="95">
        <f t="shared" si="57"/>
        <v>0</v>
      </c>
    </row>
    <row r="212" spans="1:10" x14ac:dyDescent="0.2">
      <c r="A212" s="93">
        <f t="shared" si="55"/>
        <v>0</v>
      </c>
      <c r="B212" s="93"/>
      <c r="C212" s="388"/>
      <c r="D212" s="95">
        <f t="shared" si="57"/>
        <v>0</v>
      </c>
      <c r="E212" s="95">
        <f t="shared" si="57"/>
        <v>0</v>
      </c>
      <c r="F212" s="95">
        <f t="shared" si="57"/>
        <v>0</v>
      </c>
      <c r="G212" s="95">
        <f t="shared" si="57"/>
        <v>0</v>
      </c>
      <c r="H212" s="95">
        <f t="shared" si="57"/>
        <v>0</v>
      </c>
      <c r="I212" s="95">
        <f t="shared" si="57"/>
        <v>0</v>
      </c>
      <c r="J212" s="95">
        <f t="shared" si="57"/>
        <v>0</v>
      </c>
    </row>
    <row r="213" spans="1:10" x14ac:dyDescent="0.2">
      <c r="A213" s="93">
        <f t="shared" si="55"/>
        <v>0</v>
      </c>
      <c r="B213" s="93"/>
      <c r="C213" s="388"/>
      <c r="D213" s="95">
        <f t="shared" si="57"/>
        <v>0</v>
      </c>
      <c r="E213" s="95">
        <f t="shared" si="57"/>
        <v>0</v>
      </c>
      <c r="F213" s="95">
        <f t="shared" si="57"/>
        <v>0</v>
      </c>
      <c r="G213" s="95">
        <f t="shared" si="57"/>
        <v>0</v>
      </c>
      <c r="H213" s="95">
        <f t="shared" si="57"/>
        <v>0</v>
      </c>
      <c r="I213" s="95">
        <f t="shared" si="57"/>
        <v>0</v>
      </c>
      <c r="J213" s="95">
        <f t="shared" si="57"/>
        <v>0</v>
      </c>
    </row>
    <row r="214" spans="1:10" x14ac:dyDescent="0.2">
      <c r="A214" s="93">
        <f t="shared" si="55"/>
        <v>0</v>
      </c>
      <c r="B214" s="93"/>
      <c r="C214" s="388"/>
      <c r="D214" s="95">
        <f t="shared" si="57"/>
        <v>0</v>
      </c>
      <c r="E214" s="95">
        <f t="shared" si="57"/>
        <v>0</v>
      </c>
      <c r="F214" s="95">
        <f t="shared" si="57"/>
        <v>0</v>
      </c>
      <c r="G214" s="95">
        <f t="shared" si="57"/>
        <v>0</v>
      </c>
      <c r="H214" s="95">
        <f t="shared" si="57"/>
        <v>0</v>
      </c>
      <c r="I214" s="95">
        <f t="shared" si="57"/>
        <v>0</v>
      </c>
      <c r="J214" s="95">
        <f t="shared" si="57"/>
        <v>0</v>
      </c>
    </row>
    <row r="215" spans="1:10" x14ac:dyDescent="0.2">
      <c r="A215" s="93" t="str">
        <f t="shared" si="55"/>
        <v>Summer</v>
      </c>
      <c r="B215" s="93"/>
      <c r="C215" s="388"/>
      <c r="D215" s="95">
        <f t="shared" si="57"/>
        <v>0</v>
      </c>
      <c r="E215" s="95">
        <f t="shared" si="57"/>
        <v>0</v>
      </c>
      <c r="F215" s="95">
        <f t="shared" si="57"/>
        <v>0</v>
      </c>
      <c r="G215" s="95">
        <f t="shared" si="57"/>
        <v>0</v>
      </c>
      <c r="H215" s="95">
        <f t="shared" si="57"/>
        <v>0</v>
      </c>
      <c r="I215" s="95">
        <f t="shared" si="57"/>
        <v>0</v>
      </c>
      <c r="J215" s="95">
        <f t="shared" si="57"/>
        <v>0</v>
      </c>
    </row>
    <row r="216" spans="1:10" x14ac:dyDescent="0.2">
      <c r="A216" s="93" t="str">
        <f t="shared" si="55"/>
        <v>Groundnut</v>
      </c>
      <c r="B216" s="93"/>
      <c r="C216" s="388"/>
      <c r="D216" s="95">
        <f t="shared" si="57"/>
        <v>0</v>
      </c>
      <c r="E216" s="95">
        <f t="shared" si="57"/>
        <v>0</v>
      </c>
      <c r="F216" s="95">
        <f t="shared" si="57"/>
        <v>0</v>
      </c>
      <c r="G216" s="95">
        <f t="shared" si="57"/>
        <v>0</v>
      </c>
      <c r="H216" s="95">
        <f t="shared" si="57"/>
        <v>0</v>
      </c>
      <c r="I216" s="95">
        <f t="shared" si="57"/>
        <v>0</v>
      </c>
      <c r="J216" s="95">
        <f t="shared" si="57"/>
        <v>0</v>
      </c>
    </row>
    <row r="217" spans="1:10" x14ac:dyDescent="0.2">
      <c r="A217" s="93">
        <f t="shared" si="55"/>
        <v>0</v>
      </c>
      <c r="B217" s="93"/>
      <c r="C217" s="388"/>
      <c r="D217" s="95">
        <f t="shared" si="57"/>
        <v>0</v>
      </c>
      <c r="E217" s="95">
        <f t="shared" si="57"/>
        <v>0</v>
      </c>
      <c r="F217" s="95">
        <f t="shared" si="57"/>
        <v>0</v>
      </c>
      <c r="G217" s="95">
        <f t="shared" si="57"/>
        <v>0</v>
      </c>
      <c r="H217" s="95">
        <f t="shared" si="57"/>
        <v>0</v>
      </c>
      <c r="I217" s="95">
        <f t="shared" si="57"/>
        <v>0</v>
      </c>
      <c r="J217" s="95">
        <f t="shared" si="57"/>
        <v>0</v>
      </c>
    </row>
    <row r="218" spans="1:10" x14ac:dyDescent="0.2">
      <c r="A218" s="93">
        <f t="shared" si="55"/>
        <v>0</v>
      </c>
      <c r="B218" s="93"/>
      <c r="C218" s="388"/>
      <c r="D218" s="95">
        <f t="shared" ref="D218:J220" si="58">C82*$C218*D$124</f>
        <v>0</v>
      </c>
      <c r="E218" s="95">
        <f t="shared" si="58"/>
        <v>0</v>
      </c>
      <c r="F218" s="95">
        <f t="shared" si="58"/>
        <v>0</v>
      </c>
      <c r="G218" s="95">
        <f t="shared" si="58"/>
        <v>0</v>
      </c>
      <c r="H218" s="95">
        <f t="shared" si="58"/>
        <v>0</v>
      </c>
      <c r="I218" s="95">
        <f t="shared" si="58"/>
        <v>0</v>
      </c>
      <c r="J218" s="95">
        <f t="shared" si="58"/>
        <v>0</v>
      </c>
    </row>
    <row r="219" spans="1:10" x14ac:dyDescent="0.2">
      <c r="A219" s="93">
        <f t="shared" si="55"/>
        <v>0</v>
      </c>
      <c r="B219" s="93"/>
      <c r="C219" s="388"/>
      <c r="D219" s="95">
        <f t="shared" si="58"/>
        <v>0</v>
      </c>
      <c r="E219" s="95">
        <f t="shared" si="58"/>
        <v>0</v>
      </c>
      <c r="F219" s="95">
        <f t="shared" si="58"/>
        <v>0</v>
      </c>
      <c r="G219" s="95">
        <f t="shared" si="58"/>
        <v>0</v>
      </c>
      <c r="H219" s="95">
        <f t="shared" si="58"/>
        <v>0</v>
      </c>
      <c r="I219" s="95">
        <f t="shared" si="58"/>
        <v>0</v>
      </c>
      <c r="J219" s="95">
        <f t="shared" si="58"/>
        <v>0</v>
      </c>
    </row>
    <row r="220" spans="1:10" x14ac:dyDescent="0.2">
      <c r="A220" s="93">
        <f t="shared" si="55"/>
        <v>0</v>
      </c>
      <c r="B220" s="93"/>
      <c r="C220" s="388"/>
      <c r="D220" s="95">
        <f t="shared" si="58"/>
        <v>0</v>
      </c>
      <c r="E220" s="95">
        <f t="shared" si="58"/>
        <v>0</v>
      </c>
      <c r="F220" s="95">
        <f t="shared" si="58"/>
        <v>0</v>
      </c>
      <c r="G220" s="95">
        <f t="shared" si="58"/>
        <v>0</v>
      </c>
      <c r="H220" s="95">
        <f t="shared" si="58"/>
        <v>0</v>
      </c>
      <c r="I220" s="95">
        <f t="shared" si="58"/>
        <v>0</v>
      </c>
      <c r="J220" s="95">
        <f t="shared" si="58"/>
        <v>0</v>
      </c>
    </row>
    <row r="221" spans="1:10" x14ac:dyDescent="0.2">
      <c r="A221" s="93" t="str">
        <f t="shared" si="55"/>
        <v>Fruit  &amp; Vegetables Crop Production Details</v>
      </c>
      <c r="B221" s="93"/>
      <c r="C221" s="95"/>
      <c r="D221" s="95"/>
      <c r="E221" s="95"/>
      <c r="F221" s="95"/>
      <c r="G221" s="95"/>
      <c r="H221" s="95"/>
      <c r="I221" s="95"/>
      <c r="J221" s="95"/>
    </row>
    <row r="222" spans="1:10" x14ac:dyDescent="0.2">
      <c r="A222" s="93" t="str">
        <f t="shared" si="55"/>
        <v>Onion</v>
      </c>
      <c r="B222" s="93"/>
      <c r="C222" s="388"/>
      <c r="D222" s="95">
        <f t="shared" ref="D222:J231" si="59">C86*$C222*D$124</f>
        <v>0</v>
      </c>
      <c r="E222" s="95">
        <f t="shared" si="59"/>
        <v>0</v>
      </c>
      <c r="F222" s="95">
        <f t="shared" si="59"/>
        <v>0</v>
      </c>
      <c r="G222" s="95">
        <f t="shared" si="59"/>
        <v>0</v>
      </c>
      <c r="H222" s="95">
        <f t="shared" si="59"/>
        <v>0</v>
      </c>
      <c r="I222" s="95">
        <f t="shared" si="59"/>
        <v>0</v>
      </c>
      <c r="J222" s="95">
        <f t="shared" si="59"/>
        <v>0</v>
      </c>
    </row>
    <row r="223" spans="1:10" x14ac:dyDescent="0.2">
      <c r="A223" s="93" t="str">
        <f t="shared" si="55"/>
        <v>Tomato</v>
      </c>
      <c r="B223" s="93"/>
      <c r="C223" s="388"/>
      <c r="D223" s="95">
        <f t="shared" si="59"/>
        <v>0</v>
      </c>
      <c r="E223" s="95">
        <f t="shared" si="59"/>
        <v>0</v>
      </c>
      <c r="F223" s="95">
        <f t="shared" si="59"/>
        <v>0</v>
      </c>
      <c r="G223" s="95">
        <f t="shared" si="59"/>
        <v>0</v>
      </c>
      <c r="H223" s="95">
        <f t="shared" si="59"/>
        <v>0</v>
      </c>
      <c r="I223" s="95">
        <f t="shared" si="59"/>
        <v>0</v>
      </c>
      <c r="J223" s="95">
        <f t="shared" si="59"/>
        <v>0</v>
      </c>
    </row>
    <row r="224" spans="1:10" x14ac:dyDescent="0.2">
      <c r="A224" s="93" t="str">
        <f t="shared" si="55"/>
        <v>Okra</v>
      </c>
      <c r="B224" s="93"/>
      <c r="C224" s="388"/>
      <c r="D224" s="95">
        <f t="shared" si="59"/>
        <v>0</v>
      </c>
      <c r="E224" s="95">
        <f t="shared" si="59"/>
        <v>0</v>
      </c>
      <c r="F224" s="95">
        <f t="shared" si="59"/>
        <v>0</v>
      </c>
      <c r="G224" s="95">
        <f t="shared" si="59"/>
        <v>0</v>
      </c>
      <c r="H224" s="95">
        <f t="shared" si="59"/>
        <v>0</v>
      </c>
      <c r="I224" s="95">
        <f t="shared" si="59"/>
        <v>0</v>
      </c>
      <c r="J224" s="95">
        <f t="shared" si="59"/>
        <v>0</v>
      </c>
    </row>
    <row r="225" spans="1:10" x14ac:dyDescent="0.2">
      <c r="A225" s="93" t="str">
        <f t="shared" si="55"/>
        <v>Chilli</v>
      </c>
      <c r="B225" s="93"/>
      <c r="C225" s="388"/>
      <c r="D225" s="95">
        <f t="shared" si="59"/>
        <v>0</v>
      </c>
      <c r="E225" s="95">
        <f t="shared" si="59"/>
        <v>0</v>
      </c>
      <c r="F225" s="95">
        <f t="shared" si="59"/>
        <v>0</v>
      </c>
      <c r="G225" s="95">
        <f t="shared" si="59"/>
        <v>0</v>
      </c>
      <c r="H225" s="95">
        <f t="shared" si="59"/>
        <v>0</v>
      </c>
      <c r="I225" s="95">
        <f t="shared" si="59"/>
        <v>0</v>
      </c>
      <c r="J225" s="95">
        <f t="shared" si="59"/>
        <v>0</v>
      </c>
    </row>
    <row r="226" spans="1:10" x14ac:dyDescent="0.2">
      <c r="A226" s="93" t="str">
        <f t="shared" si="55"/>
        <v>Potato</v>
      </c>
      <c r="B226" s="93"/>
      <c r="C226" s="388"/>
      <c r="D226" s="95">
        <f t="shared" si="59"/>
        <v>0</v>
      </c>
      <c r="E226" s="95">
        <f t="shared" si="59"/>
        <v>0</v>
      </c>
      <c r="F226" s="95">
        <f t="shared" si="59"/>
        <v>0</v>
      </c>
      <c r="G226" s="95">
        <f t="shared" si="59"/>
        <v>0</v>
      </c>
      <c r="H226" s="95">
        <f t="shared" si="59"/>
        <v>0</v>
      </c>
      <c r="I226" s="95">
        <f t="shared" si="59"/>
        <v>0</v>
      </c>
      <c r="J226" s="95">
        <f t="shared" si="59"/>
        <v>0</v>
      </c>
    </row>
    <row r="227" spans="1:10" x14ac:dyDescent="0.2">
      <c r="A227" s="93">
        <f t="shared" si="55"/>
        <v>0</v>
      </c>
      <c r="B227" s="93"/>
      <c r="C227" s="388"/>
      <c r="D227" s="95">
        <f t="shared" si="59"/>
        <v>0</v>
      </c>
      <c r="E227" s="95">
        <f t="shared" si="59"/>
        <v>0</v>
      </c>
      <c r="F227" s="95">
        <f t="shared" si="59"/>
        <v>0</v>
      </c>
      <c r="G227" s="95">
        <f t="shared" si="59"/>
        <v>0</v>
      </c>
      <c r="H227" s="95">
        <f t="shared" si="59"/>
        <v>0</v>
      </c>
      <c r="I227" s="95">
        <f t="shared" si="59"/>
        <v>0</v>
      </c>
      <c r="J227" s="95">
        <f t="shared" si="59"/>
        <v>0</v>
      </c>
    </row>
    <row r="228" spans="1:10" x14ac:dyDescent="0.2">
      <c r="A228" s="93">
        <f t="shared" si="55"/>
        <v>0</v>
      </c>
      <c r="B228" s="93"/>
      <c r="C228" s="388"/>
      <c r="D228" s="95">
        <f t="shared" si="59"/>
        <v>0</v>
      </c>
      <c r="E228" s="95">
        <f t="shared" si="59"/>
        <v>0</v>
      </c>
      <c r="F228" s="95">
        <f t="shared" si="59"/>
        <v>0</v>
      </c>
      <c r="G228" s="95">
        <f t="shared" si="59"/>
        <v>0</v>
      </c>
      <c r="H228" s="95">
        <f t="shared" si="59"/>
        <v>0</v>
      </c>
      <c r="I228" s="95">
        <f t="shared" si="59"/>
        <v>0</v>
      </c>
      <c r="J228" s="95">
        <f t="shared" si="59"/>
        <v>0</v>
      </c>
    </row>
    <row r="229" spans="1:10" x14ac:dyDescent="0.2">
      <c r="A229" s="93">
        <f t="shared" si="55"/>
        <v>0</v>
      </c>
      <c r="B229" s="93"/>
      <c r="C229" s="388"/>
      <c r="D229" s="95">
        <f t="shared" si="59"/>
        <v>0</v>
      </c>
      <c r="E229" s="95">
        <f t="shared" si="59"/>
        <v>0</v>
      </c>
      <c r="F229" s="95">
        <f t="shared" si="59"/>
        <v>0</v>
      </c>
      <c r="G229" s="95">
        <f t="shared" si="59"/>
        <v>0</v>
      </c>
      <c r="H229" s="95">
        <f t="shared" si="59"/>
        <v>0</v>
      </c>
      <c r="I229" s="95">
        <f t="shared" si="59"/>
        <v>0</v>
      </c>
      <c r="J229" s="95">
        <f t="shared" si="59"/>
        <v>0</v>
      </c>
    </row>
    <row r="230" spans="1:10" x14ac:dyDescent="0.2">
      <c r="A230" s="93">
        <f t="shared" si="55"/>
        <v>0</v>
      </c>
      <c r="B230" s="93"/>
      <c r="C230" s="388"/>
      <c r="D230" s="95">
        <f t="shared" si="59"/>
        <v>0</v>
      </c>
      <c r="E230" s="95">
        <f t="shared" si="59"/>
        <v>0</v>
      </c>
      <c r="F230" s="95">
        <f t="shared" si="59"/>
        <v>0</v>
      </c>
      <c r="G230" s="95">
        <f t="shared" si="59"/>
        <v>0</v>
      </c>
      <c r="H230" s="95">
        <f t="shared" si="59"/>
        <v>0</v>
      </c>
      <c r="I230" s="95">
        <f t="shared" si="59"/>
        <v>0</v>
      </c>
      <c r="J230" s="95">
        <f t="shared" si="59"/>
        <v>0</v>
      </c>
    </row>
    <row r="231" spans="1:10" x14ac:dyDescent="0.2">
      <c r="A231" s="93" t="str">
        <f t="shared" si="55"/>
        <v>Onion</v>
      </c>
      <c r="B231" s="93"/>
      <c r="C231" s="388"/>
      <c r="D231" s="95">
        <f t="shared" si="59"/>
        <v>0</v>
      </c>
      <c r="E231" s="95">
        <f t="shared" si="59"/>
        <v>0</v>
      </c>
      <c r="F231" s="95">
        <f t="shared" si="59"/>
        <v>0</v>
      </c>
      <c r="G231" s="95">
        <f t="shared" si="59"/>
        <v>0</v>
      </c>
      <c r="H231" s="95">
        <f t="shared" si="59"/>
        <v>0</v>
      </c>
      <c r="I231" s="95">
        <f t="shared" si="59"/>
        <v>0</v>
      </c>
      <c r="J231" s="95">
        <f t="shared" si="59"/>
        <v>0</v>
      </c>
    </row>
    <row r="232" spans="1:10" x14ac:dyDescent="0.2">
      <c r="A232" s="93" t="str">
        <f t="shared" si="55"/>
        <v>Tomato</v>
      </c>
      <c r="B232" s="93"/>
      <c r="C232" s="388"/>
      <c r="D232" s="95">
        <f t="shared" ref="D232:J239" si="60">C96*$C232*D$124</f>
        <v>0</v>
      </c>
      <c r="E232" s="95">
        <f t="shared" si="60"/>
        <v>0</v>
      </c>
      <c r="F232" s="95">
        <f t="shared" si="60"/>
        <v>0</v>
      </c>
      <c r="G232" s="95">
        <f t="shared" si="60"/>
        <v>0</v>
      </c>
      <c r="H232" s="95">
        <f t="shared" si="60"/>
        <v>0</v>
      </c>
      <c r="I232" s="95">
        <f t="shared" si="60"/>
        <v>0</v>
      </c>
      <c r="J232" s="95">
        <f t="shared" si="60"/>
        <v>0</v>
      </c>
    </row>
    <row r="233" spans="1:10" x14ac:dyDescent="0.2">
      <c r="A233" s="93" t="str">
        <f t="shared" si="55"/>
        <v>Okra</v>
      </c>
      <c r="B233" s="93"/>
      <c r="C233" s="388"/>
      <c r="D233" s="95">
        <f t="shared" si="60"/>
        <v>0</v>
      </c>
      <c r="E233" s="95">
        <f t="shared" si="60"/>
        <v>0</v>
      </c>
      <c r="F233" s="95">
        <f t="shared" si="60"/>
        <v>0</v>
      </c>
      <c r="G233" s="95">
        <f t="shared" si="60"/>
        <v>0</v>
      </c>
      <c r="H233" s="95">
        <f t="shared" si="60"/>
        <v>0</v>
      </c>
      <c r="I233" s="95">
        <f t="shared" si="60"/>
        <v>0</v>
      </c>
      <c r="J233" s="95">
        <f t="shared" si="60"/>
        <v>0</v>
      </c>
    </row>
    <row r="234" spans="1:10" x14ac:dyDescent="0.2">
      <c r="A234" s="93" t="str">
        <f t="shared" si="55"/>
        <v>Chilli</v>
      </c>
      <c r="B234" s="93"/>
      <c r="C234" s="388"/>
      <c r="D234" s="95">
        <f t="shared" si="60"/>
        <v>0</v>
      </c>
      <c r="E234" s="95">
        <f t="shared" si="60"/>
        <v>0</v>
      </c>
      <c r="F234" s="95">
        <f t="shared" si="60"/>
        <v>0</v>
      </c>
      <c r="G234" s="95">
        <f t="shared" si="60"/>
        <v>0</v>
      </c>
      <c r="H234" s="95">
        <f t="shared" si="60"/>
        <v>0</v>
      </c>
      <c r="I234" s="95">
        <f t="shared" si="60"/>
        <v>0</v>
      </c>
      <c r="J234" s="95">
        <f t="shared" si="60"/>
        <v>0</v>
      </c>
    </row>
    <row r="235" spans="1:10" x14ac:dyDescent="0.2">
      <c r="A235" s="93" t="str">
        <f t="shared" si="55"/>
        <v>Brinjal</v>
      </c>
      <c r="B235" s="93"/>
      <c r="C235" s="388"/>
      <c r="D235" s="95">
        <f t="shared" si="60"/>
        <v>0</v>
      </c>
      <c r="E235" s="95">
        <f t="shared" si="60"/>
        <v>0</v>
      </c>
      <c r="F235" s="95">
        <f t="shared" si="60"/>
        <v>0</v>
      </c>
      <c r="G235" s="95">
        <f t="shared" si="60"/>
        <v>0</v>
      </c>
      <c r="H235" s="95">
        <f t="shared" si="60"/>
        <v>0</v>
      </c>
      <c r="I235" s="95">
        <f t="shared" si="60"/>
        <v>0</v>
      </c>
      <c r="J235" s="95">
        <f t="shared" si="60"/>
        <v>0</v>
      </c>
    </row>
    <row r="236" spans="1:10" x14ac:dyDescent="0.2">
      <c r="A236" s="93">
        <f t="shared" si="55"/>
        <v>0</v>
      </c>
      <c r="B236" s="93"/>
      <c r="C236" s="388"/>
      <c r="D236" s="95">
        <f t="shared" si="60"/>
        <v>0</v>
      </c>
      <c r="E236" s="95">
        <f t="shared" si="60"/>
        <v>0</v>
      </c>
      <c r="F236" s="95">
        <f t="shared" si="60"/>
        <v>0</v>
      </c>
      <c r="G236" s="95">
        <f t="shared" si="60"/>
        <v>0</v>
      </c>
      <c r="H236" s="95">
        <f t="shared" si="60"/>
        <v>0</v>
      </c>
      <c r="I236" s="95">
        <f t="shared" si="60"/>
        <v>0</v>
      </c>
      <c r="J236" s="95">
        <f t="shared" si="60"/>
        <v>0</v>
      </c>
    </row>
    <row r="237" spans="1:10" x14ac:dyDescent="0.2">
      <c r="A237" s="93">
        <f t="shared" si="55"/>
        <v>0</v>
      </c>
      <c r="B237" s="93"/>
      <c r="C237" s="388"/>
      <c r="D237" s="95">
        <f t="shared" si="60"/>
        <v>0</v>
      </c>
      <c r="E237" s="95">
        <f t="shared" si="60"/>
        <v>0</v>
      </c>
      <c r="F237" s="95">
        <f t="shared" si="60"/>
        <v>0</v>
      </c>
      <c r="G237" s="95">
        <f t="shared" si="60"/>
        <v>0</v>
      </c>
      <c r="H237" s="95">
        <f t="shared" si="60"/>
        <v>0</v>
      </c>
      <c r="I237" s="95">
        <f t="shared" si="60"/>
        <v>0</v>
      </c>
      <c r="J237" s="95">
        <f t="shared" si="60"/>
        <v>0</v>
      </c>
    </row>
    <row r="238" spans="1:10" x14ac:dyDescent="0.2">
      <c r="A238" s="93">
        <f t="shared" si="55"/>
        <v>0</v>
      </c>
      <c r="B238" s="93"/>
      <c r="C238" s="388"/>
      <c r="D238" s="95">
        <f t="shared" si="60"/>
        <v>0</v>
      </c>
      <c r="E238" s="95">
        <f t="shared" si="60"/>
        <v>0</v>
      </c>
      <c r="F238" s="95">
        <f t="shared" si="60"/>
        <v>0</v>
      </c>
      <c r="G238" s="95">
        <f t="shared" si="60"/>
        <v>0</v>
      </c>
      <c r="H238" s="95">
        <f t="shared" si="60"/>
        <v>0</v>
      </c>
      <c r="I238" s="95">
        <f t="shared" si="60"/>
        <v>0</v>
      </c>
      <c r="J238" s="95">
        <f t="shared" si="60"/>
        <v>0</v>
      </c>
    </row>
    <row r="239" spans="1:10" x14ac:dyDescent="0.2">
      <c r="A239" s="93">
        <f t="shared" si="55"/>
        <v>0</v>
      </c>
      <c r="B239" s="93"/>
      <c r="C239" s="388"/>
      <c r="D239" s="95">
        <f t="shared" si="60"/>
        <v>0</v>
      </c>
      <c r="E239" s="95">
        <f t="shared" si="60"/>
        <v>0</v>
      </c>
      <c r="F239" s="95">
        <f t="shared" si="60"/>
        <v>0</v>
      </c>
      <c r="G239" s="95">
        <f t="shared" si="60"/>
        <v>0</v>
      </c>
      <c r="H239" s="95">
        <f t="shared" si="60"/>
        <v>0</v>
      </c>
      <c r="I239" s="95">
        <f t="shared" si="60"/>
        <v>0</v>
      </c>
      <c r="J239" s="95">
        <f t="shared" si="60"/>
        <v>0</v>
      </c>
    </row>
    <row r="240" spans="1:10" x14ac:dyDescent="0.2">
      <c r="A240" s="93" t="str">
        <f>A175</f>
        <v>Pomegranate</v>
      </c>
      <c r="B240" s="93"/>
      <c r="C240" s="388"/>
      <c r="D240" s="95">
        <f t="shared" ref="D240:J244" si="61">C107*$C240*D$124</f>
        <v>0</v>
      </c>
      <c r="E240" s="95">
        <f t="shared" si="61"/>
        <v>0</v>
      </c>
      <c r="F240" s="95">
        <f t="shared" si="61"/>
        <v>0</v>
      </c>
      <c r="G240" s="95">
        <f t="shared" si="61"/>
        <v>0</v>
      </c>
      <c r="H240" s="95">
        <f t="shared" si="61"/>
        <v>0</v>
      </c>
      <c r="I240" s="95">
        <f t="shared" si="61"/>
        <v>0</v>
      </c>
      <c r="J240" s="95">
        <f t="shared" si="61"/>
        <v>0</v>
      </c>
    </row>
    <row r="241" spans="1:10" x14ac:dyDescent="0.2">
      <c r="A241" s="93" t="str">
        <f>A176</f>
        <v>Custard Apple</v>
      </c>
      <c r="B241" s="93"/>
      <c r="C241" s="388"/>
      <c r="D241" s="95">
        <f t="shared" si="61"/>
        <v>0</v>
      </c>
      <c r="E241" s="95">
        <f t="shared" si="61"/>
        <v>0</v>
      </c>
      <c r="F241" s="95">
        <f t="shared" si="61"/>
        <v>0</v>
      </c>
      <c r="G241" s="95">
        <f t="shared" si="61"/>
        <v>0</v>
      </c>
      <c r="H241" s="95">
        <f t="shared" si="61"/>
        <v>0</v>
      </c>
      <c r="I241" s="95">
        <f t="shared" si="61"/>
        <v>0</v>
      </c>
      <c r="J241" s="95">
        <f t="shared" si="61"/>
        <v>0</v>
      </c>
    </row>
    <row r="242" spans="1:10" x14ac:dyDescent="0.2">
      <c r="A242" s="93" t="str">
        <f>A177</f>
        <v>Guava</v>
      </c>
      <c r="B242" s="93"/>
      <c r="C242" s="388"/>
      <c r="D242" s="95">
        <f t="shared" si="61"/>
        <v>0</v>
      </c>
      <c r="E242" s="95">
        <f t="shared" si="61"/>
        <v>0</v>
      </c>
      <c r="F242" s="95">
        <f t="shared" si="61"/>
        <v>0</v>
      </c>
      <c r="G242" s="95">
        <f t="shared" si="61"/>
        <v>0</v>
      </c>
      <c r="H242" s="95">
        <f t="shared" si="61"/>
        <v>0</v>
      </c>
      <c r="I242" s="95">
        <f t="shared" si="61"/>
        <v>0</v>
      </c>
      <c r="J242" s="95">
        <f t="shared" si="61"/>
        <v>0</v>
      </c>
    </row>
    <row r="243" spans="1:10" x14ac:dyDescent="0.2">
      <c r="A243" s="93" t="str">
        <f>A178</f>
        <v>Citrus</v>
      </c>
      <c r="B243" s="93"/>
      <c r="C243" s="388"/>
      <c r="D243" s="95">
        <f t="shared" si="61"/>
        <v>0</v>
      </c>
      <c r="E243" s="95">
        <f t="shared" si="61"/>
        <v>0</v>
      </c>
      <c r="F243" s="95">
        <f t="shared" si="61"/>
        <v>0</v>
      </c>
      <c r="G243" s="95">
        <f t="shared" si="61"/>
        <v>0</v>
      </c>
      <c r="H243" s="95">
        <f t="shared" si="61"/>
        <v>0</v>
      </c>
      <c r="I243" s="95">
        <f t="shared" si="61"/>
        <v>0</v>
      </c>
      <c r="J243" s="95">
        <f t="shared" si="61"/>
        <v>0</v>
      </c>
    </row>
    <row r="244" spans="1:10" x14ac:dyDescent="0.2">
      <c r="A244" s="93">
        <f>A179</f>
        <v>0</v>
      </c>
      <c r="B244" s="93"/>
      <c r="C244" s="388"/>
      <c r="D244" s="95">
        <f t="shared" si="61"/>
        <v>0</v>
      </c>
      <c r="E244" s="95">
        <f t="shared" si="61"/>
        <v>0</v>
      </c>
      <c r="F244" s="95">
        <f t="shared" si="61"/>
        <v>0</v>
      </c>
      <c r="G244" s="95">
        <f t="shared" si="61"/>
        <v>0</v>
      </c>
      <c r="H244" s="95">
        <f t="shared" si="61"/>
        <v>0</v>
      </c>
      <c r="I244" s="95">
        <f t="shared" si="61"/>
        <v>0</v>
      </c>
      <c r="J244" s="95">
        <f t="shared" si="61"/>
        <v>0</v>
      </c>
    </row>
    <row r="245" spans="1:10" x14ac:dyDescent="0.2">
      <c r="A245" s="93" t="str">
        <f>A181</f>
        <v>Fertilizer(Rate/KG)</v>
      </c>
      <c r="B245" s="93"/>
      <c r="C245" s="95"/>
      <c r="D245" s="95"/>
      <c r="E245" s="95"/>
      <c r="F245" s="95"/>
      <c r="G245" s="95"/>
      <c r="H245" s="95"/>
      <c r="I245" s="95"/>
      <c r="J245" s="95"/>
    </row>
    <row r="246" spans="1:10" x14ac:dyDescent="0.2">
      <c r="A246" s="93" t="str">
        <f>A182</f>
        <v>SSP</v>
      </c>
      <c r="B246" s="93"/>
      <c r="C246" s="388">
        <v>6</v>
      </c>
      <c r="D246" s="95">
        <f t="shared" ref="D246:J246" si="62">C114*$C$246*D124</f>
        <v>0</v>
      </c>
      <c r="E246" s="95">
        <f t="shared" si="62"/>
        <v>0</v>
      </c>
      <c r="F246" s="95">
        <f t="shared" si="62"/>
        <v>0</v>
      </c>
      <c r="G246" s="95">
        <f t="shared" si="62"/>
        <v>0</v>
      </c>
      <c r="H246" s="95">
        <f t="shared" si="62"/>
        <v>0</v>
      </c>
      <c r="I246" s="95">
        <f t="shared" si="62"/>
        <v>0</v>
      </c>
      <c r="J246" s="95">
        <f t="shared" si="62"/>
        <v>0</v>
      </c>
    </row>
    <row r="247" spans="1:10" x14ac:dyDescent="0.2">
      <c r="A247" s="93" t="str">
        <f>A183</f>
        <v>Urea</v>
      </c>
      <c r="B247" s="93"/>
      <c r="C247" s="388">
        <v>5</v>
      </c>
      <c r="D247" s="95">
        <f t="shared" ref="D247:J247" si="63">C115*$C$247*D124</f>
        <v>0</v>
      </c>
      <c r="E247" s="95">
        <f t="shared" si="63"/>
        <v>0</v>
      </c>
      <c r="F247" s="95">
        <f t="shared" si="63"/>
        <v>0</v>
      </c>
      <c r="G247" s="95">
        <f t="shared" si="63"/>
        <v>0</v>
      </c>
      <c r="H247" s="95">
        <f t="shared" si="63"/>
        <v>0</v>
      </c>
      <c r="I247" s="95">
        <f t="shared" si="63"/>
        <v>0</v>
      </c>
      <c r="J247" s="95">
        <f t="shared" si="63"/>
        <v>0</v>
      </c>
    </row>
    <row r="248" spans="1:10" x14ac:dyDescent="0.2">
      <c r="A248" s="93" t="str">
        <f>A184</f>
        <v>DAP</v>
      </c>
      <c r="B248" s="93"/>
      <c r="C248" s="388">
        <v>27</v>
      </c>
      <c r="D248" s="95">
        <f t="shared" ref="D248:J248" si="64">C116*$C$248*D124</f>
        <v>0</v>
      </c>
      <c r="E248" s="95">
        <f t="shared" si="64"/>
        <v>0</v>
      </c>
      <c r="F248" s="95">
        <f t="shared" si="64"/>
        <v>0</v>
      </c>
      <c r="G248" s="95">
        <f t="shared" si="64"/>
        <v>0</v>
      </c>
      <c r="H248" s="95">
        <f t="shared" si="64"/>
        <v>0</v>
      </c>
      <c r="I248" s="95">
        <f t="shared" si="64"/>
        <v>0</v>
      </c>
      <c r="J248" s="95">
        <f t="shared" si="64"/>
        <v>0</v>
      </c>
    </row>
    <row r="249" spans="1:10" x14ac:dyDescent="0.2">
      <c r="A249" s="93"/>
      <c r="B249" s="93"/>
      <c r="C249" s="95"/>
      <c r="D249" s="95"/>
      <c r="E249" s="95"/>
      <c r="F249" s="95"/>
      <c r="G249" s="95"/>
      <c r="H249" s="95"/>
      <c r="I249" s="95"/>
      <c r="J249" s="95"/>
    </row>
    <row r="250" spans="1:10" x14ac:dyDescent="0.2">
      <c r="A250" s="93" t="str">
        <f>A186</f>
        <v>Pesticide</v>
      </c>
      <c r="B250" s="93"/>
      <c r="C250" s="95"/>
      <c r="D250" s="95"/>
      <c r="E250" s="95"/>
      <c r="F250" s="95"/>
      <c r="G250" s="95"/>
      <c r="H250" s="95"/>
      <c r="I250" s="95"/>
      <c r="J250" s="95"/>
    </row>
    <row r="251" spans="1:10" x14ac:dyDescent="0.2">
      <c r="A251" s="93" t="str">
        <f>A187</f>
        <v>Dupont Coragen</v>
      </c>
      <c r="B251" s="93"/>
      <c r="C251" s="388">
        <v>2800</v>
      </c>
      <c r="D251" s="95">
        <f t="shared" ref="D251:J251" si="65">C118*$C$251*D124</f>
        <v>0</v>
      </c>
      <c r="E251" s="95">
        <f t="shared" si="65"/>
        <v>0</v>
      </c>
      <c r="F251" s="95">
        <f t="shared" si="65"/>
        <v>0</v>
      </c>
      <c r="G251" s="95">
        <f t="shared" si="65"/>
        <v>0</v>
      </c>
      <c r="H251" s="95">
        <f t="shared" si="65"/>
        <v>0</v>
      </c>
      <c r="I251" s="95">
        <f t="shared" si="65"/>
        <v>0</v>
      </c>
      <c r="J251" s="95">
        <f t="shared" si="65"/>
        <v>0</v>
      </c>
    </row>
    <row r="252" spans="1:10" x14ac:dyDescent="0.2">
      <c r="A252" s="93" t="str">
        <f>A188</f>
        <v>Confidor Boyer</v>
      </c>
      <c r="B252" s="93"/>
      <c r="C252" s="388">
        <v>2000</v>
      </c>
      <c r="D252" s="95">
        <f t="shared" ref="D252:J252" si="66">C119*$C$252*D124</f>
        <v>0</v>
      </c>
      <c r="E252" s="95">
        <f t="shared" si="66"/>
        <v>0</v>
      </c>
      <c r="F252" s="95">
        <f t="shared" si="66"/>
        <v>0</v>
      </c>
      <c r="G252" s="95">
        <f t="shared" si="66"/>
        <v>0</v>
      </c>
      <c r="H252" s="95">
        <f t="shared" si="66"/>
        <v>0</v>
      </c>
      <c r="I252" s="95">
        <f t="shared" si="66"/>
        <v>0</v>
      </c>
      <c r="J252" s="95">
        <f t="shared" si="66"/>
        <v>0</v>
      </c>
    </row>
    <row r="253" spans="1:10" x14ac:dyDescent="0.2">
      <c r="A253" s="93"/>
      <c r="B253" s="93"/>
      <c r="C253" s="95"/>
      <c r="D253" s="95"/>
      <c r="E253" s="95"/>
      <c r="F253" s="95"/>
      <c r="G253" s="95"/>
      <c r="H253" s="95"/>
      <c r="I253" s="95"/>
      <c r="J253" s="95"/>
    </row>
    <row r="254" spans="1:10" x14ac:dyDescent="0.2">
      <c r="A254" s="93" t="s">
        <v>288</v>
      </c>
      <c r="B254" s="93"/>
      <c r="C254" s="388">
        <v>10</v>
      </c>
      <c r="D254" s="95">
        <f t="shared" ref="D254:J254" si="67">(SUM(C63:C119)/50)*$C$254*D124</f>
        <v>0</v>
      </c>
      <c r="E254" s="95">
        <f t="shared" si="67"/>
        <v>0</v>
      </c>
      <c r="F254" s="95">
        <f t="shared" si="67"/>
        <v>0</v>
      </c>
      <c r="G254" s="95">
        <f t="shared" si="67"/>
        <v>0</v>
      </c>
      <c r="H254" s="95">
        <f t="shared" si="67"/>
        <v>0</v>
      </c>
      <c r="I254" s="95">
        <f t="shared" si="67"/>
        <v>0</v>
      </c>
      <c r="J254" s="95">
        <f t="shared" si="67"/>
        <v>0</v>
      </c>
    </row>
    <row r="255" spans="1:10" x14ac:dyDescent="0.2">
      <c r="A255" s="93" t="s">
        <v>171</v>
      </c>
      <c r="B255" s="93"/>
      <c r="C255" s="388">
        <v>100</v>
      </c>
      <c r="D255" s="95">
        <f t="shared" ref="D255:J255" si="68">(SUM(C63:C119)/50)*$C$255*D124</f>
        <v>0</v>
      </c>
      <c r="E255" s="95">
        <f t="shared" si="68"/>
        <v>0</v>
      </c>
      <c r="F255" s="95">
        <f t="shared" si="68"/>
        <v>0</v>
      </c>
      <c r="G255" s="95">
        <f t="shared" si="68"/>
        <v>0</v>
      </c>
      <c r="H255" s="95">
        <f t="shared" si="68"/>
        <v>0</v>
      </c>
      <c r="I255" s="95">
        <f t="shared" si="68"/>
        <v>0</v>
      </c>
      <c r="J255" s="95">
        <f t="shared" si="68"/>
        <v>0</v>
      </c>
    </row>
    <row r="256" spans="1:10" x14ac:dyDescent="0.2">
      <c r="A256" s="93"/>
      <c r="B256" s="93"/>
      <c r="C256" s="388"/>
      <c r="D256" s="399"/>
      <c r="E256" s="95"/>
      <c r="F256" s="95"/>
      <c r="G256" s="95"/>
      <c r="H256" s="95"/>
      <c r="I256" s="95"/>
      <c r="J256" s="95"/>
    </row>
    <row r="257" spans="1:10" x14ac:dyDescent="0.2">
      <c r="A257" s="93"/>
      <c r="B257" s="93"/>
      <c r="C257" s="388"/>
      <c r="D257" s="399"/>
      <c r="E257" s="95"/>
      <c r="F257" s="95"/>
      <c r="G257" s="95"/>
      <c r="H257" s="95"/>
      <c r="I257" s="95"/>
      <c r="J257" s="95"/>
    </row>
    <row r="258" spans="1:10" x14ac:dyDescent="0.2">
      <c r="A258" s="93"/>
      <c r="B258" s="93"/>
      <c r="C258" s="388"/>
      <c r="D258" s="399"/>
      <c r="E258" s="95"/>
      <c r="F258" s="95"/>
      <c r="G258" s="95"/>
      <c r="H258" s="95"/>
      <c r="I258" s="95"/>
      <c r="J258" s="95"/>
    </row>
    <row r="259" spans="1:10" x14ac:dyDescent="0.2">
      <c r="A259" s="93"/>
      <c r="B259" s="93"/>
      <c r="C259" s="388"/>
      <c r="D259" s="399"/>
      <c r="E259" s="95"/>
      <c r="F259" s="95"/>
      <c r="G259" s="95"/>
      <c r="H259" s="95"/>
      <c r="I259" s="95"/>
      <c r="J259" s="95"/>
    </row>
    <row r="260" spans="1:10" x14ac:dyDescent="0.2">
      <c r="A260" s="93" t="s">
        <v>334</v>
      </c>
      <c r="B260" s="93"/>
      <c r="C260" s="95"/>
      <c r="D260" s="399"/>
      <c r="E260" s="95">
        <f>'5.Closing Stock &amp; W Capital'!F6</f>
        <v>0</v>
      </c>
      <c r="F260" s="95">
        <f>'5.Closing Stock &amp; W Capital'!G6</f>
        <v>0</v>
      </c>
      <c r="G260" s="95">
        <f>'5.Closing Stock &amp; W Capital'!H6</f>
        <v>0</v>
      </c>
      <c r="H260" s="95">
        <f>'5.Closing Stock &amp; W Capital'!I6</f>
        <v>0</v>
      </c>
      <c r="I260" s="95">
        <f>'5.Closing Stock &amp; W Capital'!J6</f>
        <v>0</v>
      </c>
      <c r="J260" s="95">
        <f>'5.Closing Stock &amp; W Capital'!K6</f>
        <v>0</v>
      </c>
    </row>
    <row r="261" spans="1:10" x14ac:dyDescent="0.2">
      <c r="A261" s="93" t="s">
        <v>335</v>
      </c>
      <c r="B261" s="93"/>
      <c r="C261" s="93"/>
      <c r="D261" s="399">
        <f>'5.Closing Stock &amp; W Capital'!E15</f>
        <v>0</v>
      </c>
      <c r="E261" s="95">
        <f>'5.Closing Stock &amp; W Capital'!F15</f>
        <v>0</v>
      </c>
      <c r="F261" s="95">
        <f>'5.Closing Stock &amp; W Capital'!G15</f>
        <v>0</v>
      </c>
      <c r="G261" s="95">
        <f>'5.Closing Stock &amp; W Capital'!H15</f>
        <v>0</v>
      </c>
      <c r="H261" s="95">
        <f>'5.Closing Stock &amp; W Capital'!I15</f>
        <v>0</v>
      </c>
      <c r="I261" s="95">
        <f>'5.Closing Stock &amp; W Capital'!J15</f>
        <v>0</v>
      </c>
      <c r="J261" s="95">
        <f>'5.Closing Stock &amp; W Capital'!K15</f>
        <v>0</v>
      </c>
    </row>
    <row r="262" spans="1:10" x14ac:dyDescent="0.2">
      <c r="A262" s="93"/>
      <c r="B262" s="93"/>
      <c r="C262" s="93"/>
    </row>
    <row r="263" spans="1:10" x14ac:dyDescent="0.2">
      <c r="A263" s="98" t="s">
        <v>312</v>
      </c>
      <c r="B263" s="98"/>
      <c r="C263" s="104"/>
      <c r="D263" s="104">
        <f>SUM(D198:D259)+D260-D261</f>
        <v>0</v>
      </c>
      <c r="E263" s="104">
        <f t="shared" ref="E263:J263" si="69">SUM(E198:E259)+E260-E261</f>
        <v>0</v>
      </c>
      <c r="F263" s="104">
        <f t="shared" si="69"/>
        <v>0</v>
      </c>
      <c r="G263" s="104">
        <f t="shared" si="69"/>
        <v>0</v>
      </c>
      <c r="H263" s="104">
        <f t="shared" si="69"/>
        <v>0</v>
      </c>
      <c r="I263" s="104">
        <f t="shared" si="69"/>
        <v>0</v>
      </c>
      <c r="J263" s="104">
        <f t="shared" si="69"/>
        <v>0</v>
      </c>
    </row>
    <row r="264" spans="1:10" x14ac:dyDescent="0.2">
      <c r="A264" s="93"/>
      <c r="B264" s="93"/>
      <c r="C264" s="95"/>
      <c r="D264" s="95"/>
      <c r="E264" s="95"/>
      <c r="F264" s="95"/>
      <c r="G264" s="95"/>
      <c r="H264" s="95"/>
      <c r="I264" s="95"/>
      <c r="J264" s="95"/>
    </row>
    <row r="265" spans="1:10" x14ac:dyDescent="0.2">
      <c r="A265" s="98" t="s">
        <v>305</v>
      </c>
      <c r="B265" s="98"/>
      <c r="C265" s="95"/>
      <c r="D265" s="95"/>
      <c r="E265" s="95"/>
      <c r="F265" s="95"/>
      <c r="G265" s="95"/>
      <c r="H265" s="95"/>
      <c r="I265" s="95"/>
      <c r="J265" s="95"/>
    </row>
    <row r="266" spans="1:10" x14ac:dyDescent="0.2">
      <c r="A266" s="93" t="s">
        <v>317</v>
      </c>
      <c r="B266" s="93">
        <v>12</v>
      </c>
      <c r="C266" s="388"/>
      <c r="D266" s="95">
        <f t="shared" ref="D266:J266" si="70">$B$266*$C$266*D124</f>
        <v>0</v>
      </c>
      <c r="E266" s="95">
        <f t="shared" si="70"/>
        <v>0</v>
      </c>
      <c r="F266" s="95">
        <f t="shared" si="70"/>
        <v>0</v>
      </c>
      <c r="G266" s="95">
        <f t="shared" si="70"/>
        <v>0</v>
      </c>
      <c r="H266" s="95">
        <f t="shared" si="70"/>
        <v>0</v>
      </c>
      <c r="I266" s="95">
        <f t="shared" si="70"/>
        <v>0</v>
      </c>
      <c r="J266" s="95">
        <f t="shared" si="70"/>
        <v>0</v>
      </c>
    </row>
    <row r="267" spans="1:10" x14ac:dyDescent="0.2">
      <c r="A267" s="93" t="s">
        <v>318</v>
      </c>
      <c r="B267" s="239">
        <v>1</v>
      </c>
      <c r="C267" s="388"/>
      <c r="D267" s="95">
        <f t="shared" ref="D267:J267" si="71">$B$267*$C$267*12*D124</f>
        <v>0</v>
      </c>
      <c r="E267" s="95">
        <f t="shared" si="71"/>
        <v>0</v>
      </c>
      <c r="F267" s="95">
        <f t="shared" si="71"/>
        <v>0</v>
      </c>
      <c r="G267" s="95">
        <f t="shared" si="71"/>
        <v>0</v>
      </c>
      <c r="H267" s="95">
        <f t="shared" si="71"/>
        <v>0</v>
      </c>
      <c r="I267" s="95">
        <f t="shared" si="71"/>
        <v>0</v>
      </c>
      <c r="J267" s="95">
        <f t="shared" si="71"/>
        <v>0</v>
      </c>
    </row>
    <row r="268" spans="1:10" x14ac:dyDescent="0.2">
      <c r="A268" s="93" t="s">
        <v>190</v>
      </c>
      <c r="B268" s="239">
        <v>1</v>
      </c>
      <c r="C268" s="388"/>
      <c r="D268" s="95">
        <f t="shared" ref="D268:J268" si="72">$B$268*$C$268*12*D124</f>
        <v>0</v>
      </c>
      <c r="E268" s="95">
        <f t="shared" si="72"/>
        <v>0</v>
      </c>
      <c r="F268" s="95">
        <f t="shared" si="72"/>
        <v>0</v>
      </c>
      <c r="G268" s="95">
        <f t="shared" si="72"/>
        <v>0</v>
      </c>
      <c r="H268" s="95">
        <f t="shared" si="72"/>
        <v>0</v>
      </c>
      <c r="I268" s="95">
        <f t="shared" si="72"/>
        <v>0</v>
      </c>
      <c r="J268" s="95">
        <f t="shared" si="72"/>
        <v>0</v>
      </c>
    </row>
    <row r="269" spans="1:10" x14ac:dyDescent="0.2">
      <c r="A269" s="93" t="s">
        <v>319</v>
      </c>
      <c r="B269" s="93">
        <v>12</v>
      </c>
      <c r="C269" s="388"/>
      <c r="D269" s="95">
        <f t="shared" ref="D269:J269" si="73">$B$269*$C$269*D124</f>
        <v>0</v>
      </c>
      <c r="E269" s="95">
        <f t="shared" si="73"/>
        <v>0</v>
      </c>
      <c r="F269" s="95">
        <f t="shared" si="73"/>
        <v>0</v>
      </c>
      <c r="G269" s="95">
        <f t="shared" si="73"/>
        <v>0</v>
      </c>
      <c r="H269" s="95">
        <f t="shared" si="73"/>
        <v>0</v>
      </c>
      <c r="I269" s="95">
        <f t="shared" si="73"/>
        <v>0</v>
      </c>
      <c r="J269" s="95">
        <f t="shared" si="73"/>
        <v>0</v>
      </c>
    </row>
    <row r="270" spans="1:10" x14ac:dyDescent="0.2">
      <c r="A270" s="93"/>
      <c r="B270" s="93"/>
      <c r="C270" s="388"/>
      <c r="D270" s="95"/>
      <c r="E270" s="95"/>
      <c r="F270" s="95"/>
      <c r="G270" s="95"/>
      <c r="H270" s="95"/>
      <c r="I270" s="95"/>
      <c r="J270" s="95"/>
    </row>
    <row r="271" spans="1:10" x14ac:dyDescent="0.2">
      <c r="A271" s="93"/>
      <c r="B271" s="93"/>
      <c r="C271" s="388"/>
      <c r="D271" s="95"/>
      <c r="E271" s="95"/>
      <c r="F271" s="95"/>
      <c r="G271" s="95"/>
      <c r="H271" s="95"/>
      <c r="I271" s="95"/>
      <c r="J271" s="95"/>
    </row>
    <row r="272" spans="1:10" x14ac:dyDescent="0.2">
      <c r="A272" s="93"/>
      <c r="B272" s="93"/>
      <c r="C272" s="388"/>
      <c r="D272" s="95"/>
      <c r="E272" s="95"/>
      <c r="F272" s="95"/>
      <c r="G272" s="95"/>
      <c r="H272" s="95"/>
      <c r="I272" s="95"/>
      <c r="J272" s="95"/>
    </row>
    <row r="273" spans="1:10" x14ac:dyDescent="0.2">
      <c r="A273" s="93"/>
      <c r="B273" s="93"/>
      <c r="C273" s="388"/>
      <c r="D273" s="95"/>
      <c r="E273" s="95"/>
      <c r="F273" s="95"/>
      <c r="G273" s="95"/>
      <c r="H273" s="95"/>
      <c r="I273" s="95"/>
      <c r="J273" s="95"/>
    </row>
    <row r="274" spans="1:10" x14ac:dyDescent="0.2">
      <c r="A274" s="98" t="s">
        <v>316</v>
      </c>
      <c r="B274" s="98"/>
      <c r="C274" s="104"/>
      <c r="D274" s="104">
        <f>SUM(D266:D273)</f>
        <v>0</v>
      </c>
      <c r="E274" s="104">
        <f t="shared" ref="E274:J274" si="74">SUM(E266:E273)</f>
        <v>0</v>
      </c>
      <c r="F274" s="104">
        <f t="shared" si="74"/>
        <v>0</v>
      </c>
      <c r="G274" s="104">
        <f t="shared" si="74"/>
        <v>0</v>
      </c>
      <c r="H274" s="104">
        <f t="shared" si="74"/>
        <v>0</v>
      </c>
      <c r="I274" s="104">
        <f t="shared" si="74"/>
        <v>0</v>
      </c>
      <c r="J274" s="104">
        <f t="shared" si="74"/>
        <v>0</v>
      </c>
    </row>
    <row r="275" spans="1:10" x14ac:dyDescent="0.2">
      <c r="A275" s="244" t="s">
        <v>135</v>
      </c>
      <c r="B275" s="244"/>
      <c r="C275" s="400"/>
      <c r="D275" s="104">
        <f t="shared" ref="D275:J275" si="75">D263+D274</f>
        <v>0</v>
      </c>
      <c r="E275" s="104">
        <f t="shared" si="75"/>
        <v>0</v>
      </c>
      <c r="F275" s="104">
        <f t="shared" si="75"/>
        <v>0</v>
      </c>
      <c r="G275" s="104">
        <f t="shared" si="75"/>
        <v>0</v>
      </c>
      <c r="H275" s="104">
        <f t="shared" si="75"/>
        <v>0</v>
      </c>
      <c r="I275" s="104">
        <f t="shared" si="75"/>
        <v>0</v>
      </c>
      <c r="J275" s="104">
        <f t="shared" si="75"/>
        <v>0</v>
      </c>
    </row>
    <row r="276" spans="1:10" x14ac:dyDescent="0.2">
      <c r="A276" s="93"/>
      <c r="B276" s="93"/>
      <c r="C276" s="95"/>
      <c r="D276" s="95"/>
      <c r="E276" s="95"/>
      <c r="F276" s="95"/>
      <c r="G276" s="95"/>
      <c r="H276" s="95"/>
      <c r="I276" s="95"/>
      <c r="J276" s="95"/>
    </row>
    <row r="277" spans="1:10" x14ac:dyDescent="0.2">
      <c r="A277" s="244" t="s">
        <v>7</v>
      </c>
      <c r="B277" s="244"/>
      <c r="C277" s="400"/>
      <c r="D277" s="104">
        <f t="shared" ref="D277:J277" si="76">D191-D275</f>
        <v>0</v>
      </c>
      <c r="E277" s="104">
        <f t="shared" si="76"/>
        <v>0</v>
      </c>
      <c r="F277" s="104">
        <f t="shared" si="76"/>
        <v>0</v>
      </c>
      <c r="G277" s="104">
        <f t="shared" si="76"/>
        <v>0</v>
      </c>
      <c r="H277" s="104">
        <f t="shared" si="76"/>
        <v>0</v>
      </c>
      <c r="I277" s="104">
        <f t="shared" si="76"/>
        <v>0</v>
      </c>
      <c r="J277" s="104">
        <f t="shared" si="76"/>
        <v>0</v>
      </c>
    </row>
    <row r="278" spans="1:10" x14ac:dyDescent="0.2">
      <c r="A278" s="151"/>
      <c r="B278" s="151"/>
      <c r="C278" s="151"/>
    </row>
    <row r="280" spans="1:10" x14ac:dyDescent="0.2">
      <c r="A280" s="429" t="s">
        <v>407</v>
      </c>
      <c r="B280" s="429"/>
      <c r="C280" s="429"/>
      <c r="D280" s="429"/>
      <c r="E280" s="429"/>
      <c r="F280" s="429"/>
      <c r="G280" s="429"/>
      <c r="H280" s="429"/>
      <c r="I280" s="429"/>
      <c r="J280" s="429"/>
    </row>
    <row r="282" spans="1:10" x14ac:dyDescent="0.2">
      <c r="A282" s="92" t="s">
        <v>527</v>
      </c>
    </row>
    <row r="283" spans="1:10" x14ac:dyDescent="0.2">
      <c r="A283" s="92">
        <v>1</v>
      </c>
      <c r="B283" s="92" t="s">
        <v>540</v>
      </c>
    </row>
    <row r="284" spans="1:10" x14ac:dyDescent="0.2">
      <c r="A284" s="92">
        <v>2</v>
      </c>
      <c r="B284" s="92" t="s">
        <v>541</v>
      </c>
    </row>
    <row r="285" spans="1:10" x14ac:dyDescent="0.2">
      <c r="A285" s="92">
        <v>3</v>
      </c>
      <c r="B285" s="92" t="s">
        <v>592</v>
      </c>
    </row>
  </sheetData>
  <mergeCells count="3">
    <mergeCell ref="A122:J122"/>
    <mergeCell ref="A2:I2"/>
    <mergeCell ref="A280:J280"/>
  </mergeCells>
  <pageMargins left="0.7" right="0.7" top="0.75" bottom="0.75" header="0.3" footer="0.3"/>
  <pageSetup scale="63" orientation="portrait" r:id="rId1"/>
  <colBreaks count="1" manualBreakCount="1">
    <brk id="10"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3:J200"/>
  <sheetViews>
    <sheetView view="pageBreakPreview" zoomScale="80" zoomScaleSheetLayoutView="80" workbookViewId="0">
      <selection sqref="A1:XFD1048576"/>
    </sheetView>
  </sheetViews>
  <sheetFormatPr defaultColWidth="8.7421875" defaultRowHeight="15" x14ac:dyDescent="0.2"/>
  <cols>
    <col min="1" max="1" width="41.69921875" style="92" bestFit="1" customWidth="1"/>
    <col min="2" max="2" width="11.56640625" style="92" bestFit="1" customWidth="1"/>
    <col min="3" max="3" width="12.5078125" style="92" bestFit="1" customWidth="1"/>
    <col min="4" max="4" width="15.19921875" style="92" customWidth="1"/>
    <col min="5" max="8" width="17.21875" style="92" customWidth="1"/>
    <col min="9" max="10" width="16.8125" style="92" bestFit="1" customWidth="1"/>
    <col min="11" max="16384" width="8.7421875" style="92"/>
  </cols>
  <sheetData>
    <row r="3" spans="1:8" ht="18.75" x14ac:dyDescent="0.25">
      <c r="A3" s="427" t="s">
        <v>587</v>
      </c>
      <c r="B3" s="427"/>
      <c r="C3" s="427"/>
      <c r="D3" s="427"/>
      <c r="E3" s="427"/>
      <c r="F3" s="427"/>
      <c r="G3" s="427"/>
      <c r="H3" s="427"/>
    </row>
    <row r="4" spans="1:8" ht="18.75" x14ac:dyDescent="0.25">
      <c r="A4" s="427" t="s">
        <v>588</v>
      </c>
      <c r="B4" s="427"/>
      <c r="C4" s="427"/>
      <c r="D4" s="427"/>
      <c r="E4" s="427"/>
      <c r="F4" s="427"/>
      <c r="G4" s="427"/>
      <c r="H4" s="427"/>
    </row>
    <row r="5" spans="1:8" x14ac:dyDescent="0.2">
      <c r="A5" s="92" t="s">
        <v>160</v>
      </c>
      <c r="B5" s="122">
        <v>1</v>
      </c>
      <c r="C5" s="92" t="s">
        <v>457</v>
      </c>
    </row>
    <row r="6" spans="1:8" x14ac:dyDescent="0.2">
      <c r="A6" s="92" t="s">
        <v>161</v>
      </c>
      <c r="B6" s="124">
        <v>8</v>
      </c>
    </row>
    <row r="7" spans="1:8" x14ac:dyDescent="0.2">
      <c r="B7" s="124"/>
    </row>
    <row r="8" spans="1:8" x14ac:dyDescent="0.2">
      <c r="B8" s="124"/>
    </row>
    <row r="11" spans="1:8" x14ac:dyDescent="0.2">
      <c r="A11" s="123" t="s">
        <v>0</v>
      </c>
      <c r="B11" s="139" t="s">
        <v>2</v>
      </c>
      <c r="C11" s="139" t="s">
        <v>3</v>
      </c>
      <c r="D11" s="139" t="s">
        <v>4</v>
      </c>
      <c r="E11" s="139" t="s">
        <v>5</v>
      </c>
      <c r="F11" s="139" t="s">
        <v>6</v>
      </c>
      <c r="G11" s="139" t="s">
        <v>168</v>
      </c>
      <c r="H11" s="139" t="s">
        <v>167</v>
      </c>
    </row>
    <row r="12" spans="1:8" x14ac:dyDescent="0.2">
      <c r="A12" s="93" t="s">
        <v>169</v>
      </c>
      <c r="B12" s="384">
        <f t="shared" ref="B12:H12" si="0">B39/($B$5*$B$6)</f>
        <v>0</v>
      </c>
      <c r="C12" s="384">
        <f t="shared" si="0"/>
        <v>0</v>
      </c>
      <c r="D12" s="384">
        <f t="shared" si="0"/>
        <v>0</v>
      </c>
      <c r="E12" s="384">
        <f t="shared" si="0"/>
        <v>0</v>
      </c>
      <c r="F12" s="384">
        <f t="shared" si="0"/>
        <v>0</v>
      </c>
      <c r="G12" s="384">
        <f t="shared" si="0"/>
        <v>0</v>
      </c>
      <c r="H12" s="384">
        <f t="shared" si="0"/>
        <v>0</v>
      </c>
    </row>
    <row r="13" spans="1:8" x14ac:dyDescent="0.2">
      <c r="A13" s="93" t="str">
        <f>'11.F&amp;V Crop Production details'!A74</f>
        <v>Onion</v>
      </c>
      <c r="B13" s="93">
        <f>'11.F&amp;V Crop Production details'!B74</f>
        <v>0</v>
      </c>
      <c r="C13" s="93">
        <f>'11.F&amp;V Crop Production details'!C74</f>
        <v>0</v>
      </c>
      <c r="D13" s="93">
        <f>'11.F&amp;V Crop Production details'!D74</f>
        <v>0</v>
      </c>
      <c r="E13" s="93">
        <f>'11.F&amp;V Crop Production details'!E74</f>
        <v>0</v>
      </c>
      <c r="F13" s="93">
        <f>'11.F&amp;V Crop Production details'!F74</f>
        <v>0</v>
      </c>
      <c r="G13" s="93">
        <f>'11.F&amp;V Crop Production details'!G74</f>
        <v>0</v>
      </c>
      <c r="H13" s="93">
        <f>'11.F&amp;V Crop Production details'!H74</f>
        <v>0</v>
      </c>
    </row>
    <row r="14" spans="1:8" x14ac:dyDescent="0.2">
      <c r="A14" s="93" t="str">
        <f>'11.F&amp;V Crop Production details'!A75</f>
        <v>Tomato</v>
      </c>
      <c r="B14" s="93">
        <f>'11.F&amp;V Crop Production details'!B75</f>
        <v>0</v>
      </c>
      <c r="C14" s="93">
        <f>'11.F&amp;V Crop Production details'!C75</f>
        <v>0</v>
      </c>
      <c r="D14" s="93">
        <f>'11.F&amp;V Crop Production details'!D75</f>
        <v>0</v>
      </c>
      <c r="E14" s="93">
        <f>'11.F&amp;V Crop Production details'!E75</f>
        <v>0</v>
      </c>
      <c r="F14" s="93">
        <f>'11.F&amp;V Crop Production details'!F75</f>
        <v>0</v>
      </c>
      <c r="G14" s="93">
        <f>'11.F&amp;V Crop Production details'!G75</f>
        <v>0</v>
      </c>
      <c r="H14" s="93">
        <f>'11.F&amp;V Crop Production details'!H75</f>
        <v>0</v>
      </c>
    </row>
    <row r="15" spans="1:8" x14ac:dyDescent="0.2">
      <c r="A15" s="93" t="str">
        <f>'11.F&amp;V Crop Production details'!A76</f>
        <v>Okra</v>
      </c>
      <c r="B15" s="93">
        <f>'11.F&amp;V Crop Production details'!B76</f>
        <v>0</v>
      </c>
      <c r="C15" s="93">
        <f>'11.F&amp;V Crop Production details'!C76</f>
        <v>0</v>
      </c>
      <c r="D15" s="93">
        <f>'11.F&amp;V Crop Production details'!D76</f>
        <v>0</v>
      </c>
      <c r="E15" s="93">
        <f>'11.F&amp;V Crop Production details'!E76</f>
        <v>0</v>
      </c>
      <c r="F15" s="93">
        <f>'11.F&amp;V Crop Production details'!F76</f>
        <v>0</v>
      </c>
      <c r="G15" s="93">
        <f>'11.F&amp;V Crop Production details'!G76</f>
        <v>0</v>
      </c>
      <c r="H15" s="93">
        <f>'11.F&amp;V Crop Production details'!H76</f>
        <v>0</v>
      </c>
    </row>
    <row r="16" spans="1:8" x14ac:dyDescent="0.2">
      <c r="A16" s="93" t="str">
        <f>'11.F&amp;V Crop Production details'!A77</f>
        <v>Chilli</v>
      </c>
      <c r="B16" s="93">
        <f>'11.F&amp;V Crop Production details'!B77</f>
        <v>0</v>
      </c>
      <c r="C16" s="93">
        <f>'11.F&amp;V Crop Production details'!C77</f>
        <v>0</v>
      </c>
      <c r="D16" s="93">
        <f>'11.F&amp;V Crop Production details'!D77</f>
        <v>0</v>
      </c>
      <c r="E16" s="93">
        <f>'11.F&amp;V Crop Production details'!E77</f>
        <v>0</v>
      </c>
      <c r="F16" s="93">
        <f>'11.F&amp;V Crop Production details'!F77</f>
        <v>0</v>
      </c>
      <c r="G16" s="93">
        <f>'11.F&amp;V Crop Production details'!G77</f>
        <v>0</v>
      </c>
      <c r="H16" s="93">
        <f>'11.F&amp;V Crop Production details'!H77</f>
        <v>0</v>
      </c>
    </row>
    <row r="17" spans="1:8" x14ac:dyDescent="0.2">
      <c r="A17" s="93" t="str">
        <f>'11.F&amp;V Crop Production details'!A78</f>
        <v>Potato</v>
      </c>
      <c r="B17" s="93">
        <f>'11.F&amp;V Crop Production details'!B78</f>
        <v>0</v>
      </c>
      <c r="C17" s="93">
        <f>'11.F&amp;V Crop Production details'!C78</f>
        <v>0</v>
      </c>
      <c r="D17" s="93">
        <f>'11.F&amp;V Crop Production details'!D78</f>
        <v>0</v>
      </c>
      <c r="E17" s="93">
        <f>'11.F&amp;V Crop Production details'!E78</f>
        <v>0</v>
      </c>
      <c r="F17" s="93">
        <f>'11.F&amp;V Crop Production details'!F78</f>
        <v>0</v>
      </c>
      <c r="G17" s="93">
        <f>'11.F&amp;V Crop Production details'!G78</f>
        <v>0</v>
      </c>
      <c r="H17" s="93">
        <f>'11.F&amp;V Crop Production details'!H78</f>
        <v>0</v>
      </c>
    </row>
    <row r="18" spans="1:8" x14ac:dyDescent="0.2">
      <c r="A18" s="93">
        <f>'11.F&amp;V Crop Production details'!A79</f>
        <v>0</v>
      </c>
      <c r="B18" s="93">
        <f>'11.F&amp;V Crop Production details'!B79</f>
        <v>0</v>
      </c>
      <c r="C18" s="93">
        <f>'11.F&amp;V Crop Production details'!C79</f>
        <v>0</v>
      </c>
      <c r="D18" s="93">
        <f>'11.F&amp;V Crop Production details'!D79</f>
        <v>0</v>
      </c>
      <c r="E18" s="93">
        <f>'11.F&amp;V Crop Production details'!E79</f>
        <v>0</v>
      </c>
      <c r="F18" s="93">
        <f>'11.F&amp;V Crop Production details'!F79</f>
        <v>0</v>
      </c>
      <c r="G18" s="93">
        <f>'11.F&amp;V Crop Production details'!G79</f>
        <v>0</v>
      </c>
      <c r="H18" s="93">
        <f>'11.F&amp;V Crop Production details'!H79</f>
        <v>0</v>
      </c>
    </row>
    <row r="19" spans="1:8" x14ac:dyDescent="0.2">
      <c r="A19" s="93">
        <f>'11.F&amp;V Crop Production details'!A80</f>
        <v>0</v>
      </c>
      <c r="B19" s="93">
        <f>'11.F&amp;V Crop Production details'!B80</f>
        <v>0</v>
      </c>
      <c r="C19" s="93">
        <f>'11.F&amp;V Crop Production details'!C80</f>
        <v>0</v>
      </c>
      <c r="D19" s="93">
        <f>'11.F&amp;V Crop Production details'!D80</f>
        <v>0</v>
      </c>
      <c r="E19" s="93">
        <f>'11.F&amp;V Crop Production details'!E80</f>
        <v>0</v>
      </c>
      <c r="F19" s="93">
        <f>'11.F&amp;V Crop Production details'!F80</f>
        <v>0</v>
      </c>
      <c r="G19" s="93">
        <f>'11.F&amp;V Crop Production details'!G80</f>
        <v>0</v>
      </c>
      <c r="H19" s="93">
        <f>'11.F&amp;V Crop Production details'!H80</f>
        <v>0</v>
      </c>
    </row>
    <row r="20" spans="1:8" x14ac:dyDescent="0.2">
      <c r="A20" s="93">
        <f>'11.F&amp;V Crop Production details'!A81</f>
        <v>0</v>
      </c>
      <c r="B20" s="93">
        <f>'11.F&amp;V Crop Production details'!B81</f>
        <v>0</v>
      </c>
      <c r="C20" s="93">
        <f>'11.F&amp;V Crop Production details'!C81</f>
        <v>0</v>
      </c>
      <c r="D20" s="93">
        <f>'11.F&amp;V Crop Production details'!D81</f>
        <v>0</v>
      </c>
      <c r="E20" s="93">
        <f>'11.F&amp;V Crop Production details'!E81</f>
        <v>0</v>
      </c>
      <c r="F20" s="93">
        <f>'11.F&amp;V Crop Production details'!F81</f>
        <v>0</v>
      </c>
      <c r="G20" s="93">
        <f>'11.F&amp;V Crop Production details'!G81</f>
        <v>0</v>
      </c>
      <c r="H20" s="93">
        <f>'11.F&amp;V Crop Production details'!H81</f>
        <v>0</v>
      </c>
    </row>
    <row r="21" spans="1:8" x14ac:dyDescent="0.2">
      <c r="A21" s="93">
        <f>'11.F&amp;V Crop Production details'!A82</f>
        <v>0</v>
      </c>
      <c r="B21" s="93">
        <f>'11.F&amp;V Crop Production details'!B82</f>
        <v>0</v>
      </c>
      <c r="C21" s="93">
        <f>'11.F&amp;V Crop Production details'!C82</f>
        <v>0</v>
      </c>
      <c r="D21" s="93">
        <f>'11.F&amp;V Crop Production details'!D82</f>
        <v>0</v>
      </c>
      <c r="E21" s="93">
        <f>'11.F&amp;V Crop Production details'!E82</f>
        <v>0</v>
      </c>
      <c r="F21" s="93">
        <f>'11.F&amp;V Crop Production details'!F82</f>
        <v>0</v>
      </c>
      <c r="G21" s="93">
        <f>'11.F&amp;V Crop Production details'!G82</f>
        <v>0</v>
      </c>
      <c r="H21" s="93">
        <f>'11.F&amp;V Crop Production details'!H82</f>
        <v>0</v>
      </c>
    </row>
    <row r="22" spans="1:8" x14ac:dyDescent="0.2">
      <c r="A22" s="93" t="str">
        <f>'11.F&amp;V Crop Production details'!A83</f>
        <v>Onion</v>
      </c>
      <c r="B22" s="93">
        <f>'11.F&amp;V Crop Production details'!B83</f>
        <v>0</v>
      </c>
      <c r="C22" s="93">
        <f>'11.F&amp;V Crop Production details'!C83</f>
        <v>0</v>
      </c>
      <c r="D22" s="93">
        <f>'11.F&amp;V Crop Production details'!D83</f>
        <v>0</v>
      </c>
      <c r="E22" s="93">
        <f>'11.F&amp;V Crop Production details'!E83</f>
        <v>0</v>
      </c>
      <c r="F22" s="93">
        <f>'11.F&amp;V Crop Production details'!F83</f>
        <v>0</v>
      </c>
      <c r="G22" s="93">
        <f>'11.F&amp;V Crop Production details'!G83</f>
        <v>0</v>
      </c>
      <c r="H22" s="93">
        <f>'11.F&amp;V Crop Production details'!H83</f>
        <v>0</v>
      </c>
    </row>
    <row r="23" spans="1:8" x14ac:dyDescent="0.2">
      <c r="A23" s="93" t="str">
        <f>'11.F&amp;V Crop Production details'!A84</f>
        <v>Tomato</v>
      </c>
      <c r="B23" s="93">
        <f>'11.F&amp;V Crop Production details'!B84</f>
        <v>0</v>
      </c>
      <c r="C23" s="93">
        <f>'11.F&amp;V Crop Production details'!C84</f>
        <v>0</v>
      </c>
      <c r="D23" s="93">
        <f>'11.F&amp;V Crop Production details'!D84</f>
        <v>0</v>
      </c>
      <c r="E23" s="93">
        <f>'11.F&amp;V Crop Production details'!E84</f>
        <v>0</v>
      </c>
      <c r="F23" s="93">
        <f>'11.F&amp;V Crop Production details'!F84</f>
        <v>0</v>
      </c>
      <c r="G23" s="93">
        <f>'11.F&amp;V Crop Production details'!G84</f>
        <v>0</v>
      </c>
      <c r="H23" s="93">
        <f>'11.F&amp;V Crop Production details'!H84</f>
        <v>0</v>
      </c>
    </row>
    <row r="24" spans="1:8" x14ac:dyDescent="0.2">
      <c r="A24" s="93" t="str">
        <f>'11.F&amp;V Crop Production details'!A85</f>
        <v>Okra</v>
      </c>
      <c r="B24" s="93">
        <f>'11.F&amp;V Crop Production details'!B85</f>
        <v>0</v>
      </c>
      <c r="C24" s="93">
        <f>'11.F&amp;V Crop Production details'!C85</f>
        <v>0</v>
      </c>
      <c r="D24" s="93">
        <f>'11.F&amp;V Crop Production details'!D85</f>
        <v>0</v>
      </c>
      <c r="E24" s="93">
        <f>'11.F&amp;V Crop Production details'!E85</f>
        <v>0</v>
      </c>
      <c r="F24" s="93">
        <f>'11.F&amp;V Crop Production details'!F85</f>
        <v>0</v>
      </c>
      <c r="G24" s="93">
        <f>'11.F&amp;V Crop Production details'!G85</f>
        <v>0</v>
      </c>
      <c r="H24" s="93">
        <f>'11.F&amp;V Crop Production details'!H85</f>
        <v>0</v>
      </c>
    </row>
    <row r="25" spans="1:8" x14ac:dyDescent="0.2">
      <c r="A25" s="93" t="str">
        <f>'11.F&amp;V Crop Production details'!A86</f>
        <v>Chilli</v>
      </c>
      <c r="B25" s="93">
        <f>'11.F&amp;V Crop Production details'!B86</f>
        <v>0</v>
      </c>
      <c r="C25" s="93">
        <f>'11.F&amp;V Crop Production details'!C86</f>
        <v>0</v>
      </c>
      <c r="D25" s="93">
        <f>'11.F&amp;V Crop Production details'!D86</f>
        <v>0</v>
      </c>
      <c r="E25" s="93">
        <f>'11.F&amp;V Crop Production details'!E86</f>
        <v>0</v>
      </c>
      <c r="F25" s="93">
        <f>'11.F&amp;V Crop Production details'!F86</f>
        <v>0</v>
      </c>
      <c r="G25" s="93">
        <f>'11.F&amp;V Crop Production details'!G86</f>
        <v>0</v>
      </c>
      <c r="H25" s="93">
        <f>'11.F&amp;V Crop Production details'!H86</f>
        <v>0</v>
      </c>
    </row>
    <row r="26" spans="1:8" x14ac:dyDescent="0.2">
      <c r="A26" s="93" t="str">
        <f>'11.F&amp;V Crop Production details'!A87</f>
        <v>Brinjal</v>
      </c>
      <c r="B26" s="93">
        <f>'11.F&amp;V Crop Production details'!B87</f>
        <v>0</v>
      </c>
      <c r="C26" s="93">
        <f>'11.F&amp;V Crop Production details'!C87</f>
        <v>0</v>
      </c>
      <c r="D26" s="93">
        <f>'11.F&amp;V Crop Production details'!D87</f>
        <v>0</v>
      </c>
      <c r="E26" s="93">
        <f>'11.F&amp;V Crop Production details'!E87</f>
        <v>0</v>
      </c>
      <c r="F26" s="93">
        <f>'11.F&amp;V Crop Production details'!F87</f>
        <v>0</v>
      </c>
      <c r="G26" s="93">
        <f>'11.F&amp;V Crop Production details'!G87</f>
        <v>0</v>
      </c>
      <c r="H26" s="93">
        <f>'11.F&amp;V Crop Production details'!H87</f>
        <v>0</v>
      </c>
    </row>
    <row r="27" spans="1:8" x14ac:dyDescent="0.2">
      <c r="A27" s="93">
        <f>'11.F&amp;V Crop Production details'!A88</f>
        <v>0</v>
      </c>
      <c r="B27" s="93">
        <f>'11.F&amp;V Crop Production details'!B88</f>
        <v>0</v>
      </c>
      <c r="C27" s="93">
        <f>'11.F&amp;V Crop Production details'!C88</f>
        <v>0</v>
      </c>
      <c r="D27" s="93">
        <f>'11.F&amp;V Crop Production details'!D88</f>
        <v>0</v>
      </c>
      <c r="E27" s="93">
        <f>'11.F&amp;V Crop Production details'!E88</f>
        <v>0</v>
      </c>
      <c r="F27" s="93">
        <f>'11.F&amp;V Crop Production details'!F88</f>
        <v>0</v>
      </c>
      <c r="G27" s="93">
        <f>'11.F&amp;V Crop Production details'!G88</f>
        <v>0</v>
      </c>
      <c r="H27" s="93">
        <f>'11.F&amp;V Crop Production details'!H88</f>
        <v>0</v>
      </c>
    </row>
    <row r="28" spans="1:8" x14ac:dyDescent="0.2">
      <c r="A28" s="93">
        <f>'11.F&amp;V Crop Production details'!A89</f>
        <v>0</v>
      </c>
      <c r="B28" s="93">
        <f>'11.F&amp;V Crop Production details'!B89</f>
        <v>0</v>
      </c>
      <c r="C28" s="93">
        <f>'11.F&amp;V Crop Production details'!C89</f>
        <v>0</v>
      </c>
      <c r="D28" s="93">
        <f>'11.F&amp;V Crop Production details'!D89</f>
        <v>0</v>
      </c>
      <c r="E28" s="93">
        <f>'11.F&amp;V Crop Production details'!E89</f>
        <v>0</v>
      </c>
      <c r="F28" s="93">
        <f>'11.F&amp;V Crop Production details'!F89</f>
        <v>0</v>
      </c>
      <c r="G28" s="93">
        <f>'11.F&amp;V Crop Production details'!G89</f>
        <v>0</v>
      </c>
      <c r="H28" s="93">
        <f>'11.F&amp;V Crop Production details'!H89</f>
        <v>0</v>
      </c>
    </row>
    <row r="29" spans="1:8" x14ac:dyDescent="0.2">
      <c r="A29" s="93">
        <f>'11.F&amp;V Crop Production details'!A90</f>
        <v>0</v>
      </c>
      <c r="B29" s="93">
        <f>'11.F&amp;V Crop Production details'!B90</f>
        <v>0</v>
      </c>
      <c r="C29" s="93">
        <f>'11.F&amp;V Crop Production details'!C90</f>
        <v>0</v>
      </c>
      <c r="D29" s="93">
        <f>'11.F&amp;V Crop Production details'!D90</f>
        <v>0</v>
      </c>
      <c r="E29" s="93">
        <f>'11.F&amp;V Crop Production details'!E90</f>
        <v>0</v>
      </c>
      <c r="F29" s="93">
        <f>'11.F&amp;V Crop Production details'!F90</f>
        <v>0</v>
      </c>
      <c r="G29" s="93">
        <f>'11.F&amp;V Crop Production details'!G90</f>
        <v>0</v>
      </c>
      <c r="H29" s="93">
        <f>'11.F&amp;V Crop Production details'!H90</f>
        <v>0</v>
      </c>
    </row>
    <row r="30" spans="1:8" x14ac:dyDescent="0.2">
      <c r="A30" s="93">
        <f>'11.F&amp;V Crop Production details'!A91</f>
        <v>0</v>
      </c>
      <c r="B30" s="93">
        <f>'11.F&amp;V Crop Production details'!B91</f>
        <v>0</v>
      </c>
      <c r="C30" s="93">
        <f>'11.F&amp;V Crop Production details'!C91</f>
        <v>0</v>
      </c>
      <c r="D30" s="93">
        <f>'11.F&amp;V Crop Production details'!D91</f>
        <v>0</v>
      </c>
      <c r="E30" s="93">
        <f>'11.F&amp;V Crop Production details'!E91</f>
        <v>0</v>
      </c>
      <c r="F30" s="93">
        <f>'11.F&amp;V Crop Production details'!F91</f>
        <v>0</v>
      </c>
      <c r="G30" s="93">
        <f>'11.F&amp;V Crop Production details'!G91</f>
        <v>0</v>
      </c>
      <c r="H30" s="93">
        <f>'11.F&amp;V Crop Production details'!H91</f>
        <v>0</v>
      </c>
    </row>
    <row r="31" spans="1:8" x14ac:dyDescent="0.2">
      <c r="A31" s="93">
        <f>'11.F&amp;V Crop Production details'!A92</f>
        <v>0</v>
      </c>
      <c r="B31" s="93">
        <f>'11.F&amp;V Crop Production details'!B92</f>
        <v>0</v>
      </c>
      <c r="C31" s="93">
        <f>'11.F&amp;V Crop Production details'!C92</f>
        <v>0</v>
      </c>
      <c r="D31" s="93">
        <f>'11.F&amp;V Crop Production details'!D92</f>
        <v>0</v>
      </c>
      <c r="E31" s="93">
        <f>'11.F&amp;V Crop Production details'!E92</f>
        <v>0</v>
      </c>
      <c r="F31" s="93">
        <f>'11.F&amp;V Crop Production details'!F92</f>
        <v>0</v>
      </c>
      <c r="G31" s="93">
        <f>'11.F&amp;V Crop Production details'!G92</f>
        <v>0</v>
      </c>
      <c r="H31" s="93">
        <f>'11.F&amp;V Crop Production details'!H92</f>
        <v>0</v>
      </c>
    </row>
    <row r="32" spans="1:8" x14ac:dyDescent="0.2">
      <c r="A32" s="93">
        <f>'11.F&amp;V Crop Production details'!A93</f>
        <v>0</v>
      </c>
      <c r="B32" s="93">
        <f>'11.F&amp;V Crop Production details'!B93</f>
        <v>0</v>
      </c>
      <c r="C32" s="93">
        <f>'11.F&amp;V Crop Production details'!C93</f>
        <v>0</v>
      </c>
      <c r="D32" s="93">
        <f>'11.F&amp;V Crop Production details'!D93</f>
        <v>0</v>
      </c>
      <c r="E32" s="93">
        <f>'11.F&amp;V Crop Production details'!E93</f>
        <v>0</v>
      </c>
      <c r="F32" s="93">
        <f>'11.F&amp;V Crop Production details'!F93</f>
        <v>0</v>
      </c>
      <c r="G32" s="93">
        <f>'11.F&amp;V Crop Production details'!G93</f>
        <v>0</v>
      </c>
      <c r="H32" s="93">
        <f>'11.F&amp;V Crop Production details'!H93</f>
        <v>0</v>
      </c>
    </row>
    <row r="33" spans="1:8" x14ac:dyDescent="0.2">
      <c r="A33" s="93">
        <f>'11.F&amp;V Crop Production details'!A94</f>
        <v>0</v>
      </c>
      <c r="B33" s="93">
        <f>'11.F&amp;V Crop Production details'!B94</f>
        <v>0</v>
      </c>
      <c r="C33" s="93">
        <f>'11.F&amp;V Crop Production details'!C94</f>
        <v>0</v>
      </c>
      <c r="D33" s="93">
        <f>'11.F&amp;V Crop Production details'!D94</f>
        <v>0</v>
      </c>
      <c r="E33" s="93">
        <f>'11.F&amp;V Crop Production details'!E94</f>
        <v>0</v>
      </c>
      <c r="F33" s="93">
        <f>'11.F&amp;V Crop Production details'!F94</f>
        <v>0</v>
      </c>
      <c r="G33" s="93">
        <f>'11.F&amp;V Crop Production details'!G94</f>
        <v>0</v>
      </c>
      <c r="H33" s="93">
        <f>'11.F&amp;V Crop Production details'!H94</f>
        <v>0</v>
      </c>
    </row>
    <row r="34" spans="1:8" x14ac:dyDescent="0.2">
      <c r="A34" s="93" t="str">
        <f>'11.F&amp;V Crop Production details'!A95</f>
        <v>Pomegranate</v>
      </c>
      <c r="B34" s="93">
        <f>'11.F&amp;V Crop Production details'!B95</f>
        <v>0</v>
      </c>
      <c r="C34" s="93">
        <f>'11.F&amp;V Crop Production details'!C95</f>
        <v>0</v>
      </c>
      <c r="D34" s="93">
        <f>'11.F&amp;V Crop Production details'!D95</f>
        <v>0</v>
      </c>
      <c r="E34" s="93">
        <f>'11.F&amp;V Crop Production details'!E95</f>
        <v>0</v>
      </c>
      <c r="F34" s="93">
        <f>'11.F&amp;V Crop Production details'!F95</f>
        <v>0</v>
      </c>
      <c r="G34" s="93">
        <f>'11.F&amp;V Crop Production details'!G95</f>
        <v>0</v>
      </c>
      <c r="H34" s="93">
        <f>'11.F&amp;V Crop Production details'!H95</f>
        <v>0</v>
      </c>
    </row>
    <row r="35" spans="1:8" x14ac:dyDescent="0.2">
      <c r="A35" s="93" t="str">
        <f>'11.F&amp;V Crop Production details'!A96</f>
        <v>Custard Apple</v>
      </c>
      <c r="B35" s="93">
        <f>'11.F&amp;V Crop Production details'!B96</f>
        <v>0</v>
      </c>
      <c r="C35" s="93">
        <f>'11.F&amp;V Crop Production details'!C96</f>
        <v>0</v>
      </c>
      <c r="D35" s="93">
        <f>'11.F&amp;V Crop Production details'!D96</f>
        <v>0</v>
      </c>
      <c r="E35" s="93">
        <f>'11.F&amp;V Crop Production details'!E96</f>
        <v>0</v>
      </c>
      <c r="F35" s="93">
        <f>'11.F&amp;V Crop Production details'!F96</f>
        <v>0</v>
      </c>
      <c r="G35" s="93">
        <f>'11.F&amp;V Crop Production details'!G96</f>
        <v>0</v>
      </c>
      <c r="H35" s="93">
        <f>'11.F&amp;V Crop Production details'!H96</f>
        <v>0</v>
      </c>
    </row>
    <row r="36" spans="1:8" x14ac:dyDescent="0.2">
      <c r="A36" s="93" t="str">
        <f>'11.F&amp;V Crop Production details'!A97</f>
        <v>Guava</v>
      </c>
      <c r="B36" s="93">
        <f>'11.F&amp;V Crop Production details'!B97</f>
        <v>0</v>
      </c>
      <c r="C36" s="93">
        <f>'11.F&amp;V Crop Production details'!C97</f>
        <v>0</v>
      </c>
      <c r="D36" s="93">
        <f>'11.F&amp;V Crop Production details'!D97</f>
        <v>0</v>
      </c>
      <c r="E36" s="93">
        <f>'11.F&amp;V Crop Production details'!E97</f>
        <v>0</v>
      </c>
      <c r="F36" s="93">
        <f>'11.F&amp;V Crop Production details'!F97</f>
        <v>0</v>
      </c>
      <c r="G36" s="93">
        <f>'11.F&amp;V Crop Production details'!G97</f>
        <v>0</v>
      </c>
      <c r="H36" s="93">
        <f>'11.F&amp;V Crop Production details'!H97</f>
        <v>0</v>
      </c>
    </row>
    <row r="37" spans="1:8" x14ac:dyDescent="0.2">
      <c r="A37" s="93" t="str">
        <f>'11.F&amp;V Crop Production details'!A98</f>
        <v>Citrus</v>
      </c>
      <c r="B37" s="93">
        <f>'11.F&amp;V Crop Production details'!B98</f>
        <v>0</v>
      </c>
      <c r="C37" s="93">
        <f>'11.F&amp;V Crop Production details'!C98</f>
        <v>0</v>
      </c>
      <c r="D37" s="93">
        <f>'11.F&amp;V Crop Production details'!D98</f>
        <v>0</v>
      </c>
      <c r="E37" s="93">
        <f>'11.F&amp;V Crop Production details'!E98</f>
        <v>0</v>
      </c>
      <c r="F37" s="93">
        <f>'11.F&amp;V Crop Production details'!F98</f>
        <v>0</v>
      </c>
      <c r="G37" s="93">
        <f>'11.F&amp;V Crop Production details'!G98</f>
        <v>0</v>
      </c>
      <c r="H37" s="93">
        <f>'11.F&amp;V Crop Production details'!H98</f>
        <v>0</v>
      </c>
    </row>
    <row r="38" spans="1:8" x14ac:dyDescent="0.2">
      <c r="A38" s="93"/>
      <c r="B38" s="93"/>
      <c r="C38" s="93"/>
      <c r="D38" s="93"/>
      <c r="E38" s="93"/>
      <c r="F38" s="93"/>
      <c r="G38" s="93"/>
      <c r="H38" s="93"/>
    </row>
    <row r="39" spans="1:8" x14ac:dyDescent="0.2">
      <c r="A39" s="93" t="s">
        <v>448</v>
      </c>
      <c r="B39" s="93">
        <f>SUM(B13:B37)</f>
        <v>0</v>
      </c>
      <c r="C39" s="93">
        <f t="shared" ref="C39:H39" si="1">SUM(C13:C37)</f>
        <v>0</v>
      </c>
      <c r="D39" s="93">
        <f t="shared" si="1"/>
        <v>0</v>
      </c>
      <c r="E39" s="93">
        <f t="shared" si="1"/>
        <v>0</v>
      </c>
      <c r="F39" s="93">
        <f t="shared" si="1"/>
        <v>0</v>
      </c>
      <c r="G39" s="93">
        <f t="shared" si="1"/>
        <v>0</v>
      </c>
      <c r="H39" s="93">
        <f t="shared" si="1"/>
        <v>0</v>
      </c>
    </row>
    <row r="40" spans="1:8" x14ac:dyDescent="0.2">
      <c r="A40" s="371" t="s">
        <v>164</v>
      </c>
      <c r="B40" s="260">
        <v>0</v>
      </c>
      <c r="C40" s="260">
        <f>B40</f>
        <v>0</v>
      </c>
      <c r="D40" s="260">
        <f t="shared" ref="D40:H40" si="2">C40</f>
        <v>0</v>
      </c>
      <c r="E40" s="260">
        <f t="shared" si="2"/>
        <v>0</v>
      </c>
      <c r="F40" s="260">
        <f t="shared" si="2"/>
        <v>0</v>
      </c>
      <c r="G40" s="260">
        <f t="shared" si="2"/>
        <v>0</v>
      </c>
      <c r="H40" s="260">
        <f t="shared" si="2"/>
        <v>0</v>
      </c>
    </row>
    <row r="41" spans="1:8" x14ac:dyDescent="0.2">
      <c r="A41" s="93" t="s">
        <v>458</v>
      </c>
      <c r="B41" s="125">
        <f>1-B40</f>
        <v>1</v>
      </c>
      <c r="C41" s="125">
        <f t="shared" ref="C41:H41" si="3">1-C40</f>
        <v>1</v>
      </c>
      <c r="D41" s="125">
        <f t="shared" si="3"/>
        <v>1</v>
      </c>
      <c r="E41" s="125">
        <f t="shared" si="3"/>
        <v>1</v>
      </c>
      <c r="F41" s="125">
        <f t="shared" si="3"/>
        <v>1</v>
      </c>
      <c r="G41" s="125">
        <f t="shared" si="3"/>
        <v>1</v>
      </c>
      <c r="H41" s="125">
        <f t="shared" si="3"/>
        <v>1</v>
      </c>
    </row>
    <row r="42" spans="1:8" x14ac:dyDescent="0.2">
      <c r="A42" s="98" t="s">
        <v>164</v>
      </c>
      <c r="B42" s="385">
        <f>B39*B40</f>
        <v>0</v>
      </c>
      <c r="C42" s="385">
        <f t="shared" ref="C42:H42" si="4">C39*C40</f>
        <v>0</v>
      </c>
      <c r="D42" s="385">
        <f t="shared" si="4"/>
        <v>0</v>
      </c>
      <c r="E42" s="385">
        <f t="shared" si="4"/>
        <v>0</v>
      </c>
      <c r="F42" s="385">
        <f t="shared" si="4"/>
        <v>0</v>
      </c>
      <c r="G42" s="385">
        <f t="shared" si="4"/>
        <v>0</v>
      </c>
      <c r="H42" s="385">
        <f t="shared" si="4"/>
        <v>0</v>
      </c>
    </row>
    <row r="43" spans="1:8" x14ac:dyDescent="0.2">
      <c r="A43" s="98" t="s">
        <v>165</v>
      </c>
      <c r="B43" s="104"/>
      <c r="C43" s="104"/>
      <c r="D43" s="104"/>
      <c r="E43" s="104"/>
      <c r="F43" s="104"/>
      <c r="G43" s="104"/>
      <c r="H43" s="104"/>
    </row>
    <row r="44" spans="1:8" x14ac:dyDescent="0.2">
      <c r="A44" s="93" t="str">
        <f t="shared" ref="A44:A61" si="5">A13</f>
        <v>Onion</v>
      </c>
      <c r="B44" s="95">
        <f t="shared" ref="B44:B61" si="6">B13*$B$41</f>
        <v>0</v>
      </c>
      <c r="C44" s="95">
        <f t="shared" ref="C44:C61" si="7">C13*$C$41</f>
        <v>0</v>
      </c>
      <c r="D44" s="95">
        <f t="shared" ref="D44:D61" si="8">D13*$D$41</f>
        <v>0</v>
      </c>
      <c r="E44" s="95">
        <f t="shared" ref="E44:E61" si="9">E13*$E$41</f>
        <v>0</v>
      </c>
      <c r="F44" s="95">
        <f t="shared" ref="F44:F61" si="10">F13*$F$41</f>
        <v>0</v>
      </c>
      <c r="G44" s="95">
        <f t="shared" ref="G44:G61" si="11">G13*$G$41</f>
        <v>0</v>
      </c>
      <c r="H44" s="95">
        <f t="shared" ref="H44:H61" si="12">H13*$H$41</f>
        <v>0</v>
      </c>
    </row>
    <row r="45" spans="1:8" x14ac:dyDescent="0.2">
      <c r="A45" s="93" t="str">
        <f t="shared" si="5"/>
        <v>Tomato</v>
      </c>
      <c r="B45" s="95">
        <f t="shared" si="6"/>
        <v>0</v>
      </c>
      <c r="C45" s="95">
        <f t="shared" si="7"/>
        <v>0</v>
      </c>
      <c r="D45" s="95">
        <f t="shared" si="8"/>
        <v>0</v>
      </c>
      <c r="E45" s="95">
        <f t="shared" si="9"/>
        <v>0</v>
      </c>
      <c r="F45" s="95">
        <f t="shared" si="10"/>
        <v>0</v>
      </c>
      <c r="G45" s="95">
        <f t="shared" si="11"/>
        <v>0</v>
      </c>
      <c r="H45" s="95">
        <f t="shared" si="12"/>
        <v>0</v>
      </c>
    </row>
    <row r="46" spans="1:8" x14ac:dyDescent="0.2">
      <c r="A46" s="93" t="str">
        <f t="shared" si="5"/>
        <v>Okra</v>
      </c>
      <c r="B46" s="95">
        <f t="shared" si="6"/>
        <v>0</v>
      </c>
      <c r="C46" s="95">
        <f t="shared" si="7"/>
        <v>0</v>
      </c>
      <c r="D46" s="95">
        <f t="shared" si="8"/>
        <v>0</v>
      </c>
      <c r="E46" s="95">
        <f t="shared" si="9"/>
        <v>0</v>
      </c>
      <c r="F46" s="95">
        <f t="shared" si="10"/>
        <v>0</v>
      </c>
      <c r="G46" s="95">
        <f t="shared" si="11"/>
        <v>0</v>
      </c>
      <c r="H46" s="95">
        <f t="shared" si="12"/>
        <v>0</v>
      </c>
    </row>
    <row r="47" spans="1:8" x14ac:dyDescent="0.2">
      <c r="A47" s="93" t="str">
        <f t="shared" si="5"/>
        <v>Chilli</v>
      </c>
      <c r="B47" s="95">
        <f t="shared" si="6"/>
        <v>0</v>
      </c>
      <c r="C47" s="95">
        <f t="shared" si="7"/>
        <v>0</v>
      </c>
      <c r="D47" s="95">
        <f t="shared" si="8"/>
        <v>0</v>
      </c>
      <c r="E47" s="95">
        <f t="shared" si="9"/>
        <v>0</v>
      </c>
      <c r="F47" s="95">
        <f t="shared" si="10"/>
        <v>0</v>
      </c>
      <c r="G47" s="95">
        <f t="shared" si="11"/>
        <v>0</v>
      </c>
      <c r="H47" s="95">
        <f t="shared" si="12"/>
        <v>0</v>
      </c>
    </row>
    <row r="48" spans="1:8" x14ac:dyDescent="0.2">
      <c r="A48" s="93" t="str">
        <f t="shared" si="5"/>
        <v>Potato</v>
      </c>
      <c r="B48" s="95">
        <f t="shared" si="6"/>
        <v>0</v>
      </c>
      <c r="C48" s="95">
        <f t="shared" si="7"/>
        <v>0</v>
      </c>
      <c r="D48" s="95">
        <f t="shared" si="8"/>
        <v>0</v>
      </c>
      <c r="E48" s="95">
        <f t="shared" si="9"/>
        <v>0</v>
      </c>
      <c r="F48" s="95">
        <f t="shared" si="10"/>
        <v>0</v>
      </c>
      <c r="G48" s="95">
        <f t="shared" si="11"/>
        <v>0</v>
      </c>
      <c r="H48" s="95">
        <f t="shared" si="12"/>
        <v>0</v>
      </c>
    </row>
    <row r="49" spans="1:8" x14ac:dyDescent="0.2">
      <c r="A49" s="93">
        <f t="shared" si="5"/>
        <v>0</v>
      </c>
      <c r="B49" s="95">
        <f t="shared" si="6"/>
        <v>0</v>
      </c>
      <c r="C49" s="95">
        <f t="shared" si="7"/>
        <v>0</v>
      </c>
      <c r="D49" s="95">
        <f t="shared" si="8"/>
        <v>0</v>
      </c>
      <c r="E49" s="95">
        <f t="shared" si="9"/>
        <v>0</v>
      </c>
      <c r="F49" s="95">
        <f t="shared" si="10"/>
        <v>0</v>
      </c>
      <c r="G49" s="95">
        <f t="shared" si="11"/>
        <v>0</v>
      </c>
      <c r="H49" s="95">
        <f t="shared" si="12"/>
        <v>0</v>
      </c>
    </row>
    <row r="50" spans="1:8" x14ac:dyDescent="0.2">
      <c r="A50" s="93">
        <f t="shared" si="5"/>
        <v>0</v>
      </c>
      <c r="B50" s="95">
        <f t="shared" si="6"/>
        <v>0</v>
      </c>
      <c r="C50" s="95">
        <f t="shared" si="7"/>
        <v>0</v>
      </c>
      <c r="D50" s="95">
        <f t="shared" si="8"/>
        <v>0</v>
      </c>
      <c r="E50" s="95">
        <f t="shared" si="9"/>
        <v>0</v>
      </c>
      <c r="F50" s="95">
        <f t="shared" si="10"/>
        <v>0</v>
      </c>
      <c r="G50" s="95">
        <f t="shared" si="11"/>
        <v>0</v>
      </c>
      <c r="H50" s="95">
        <f t="shared" si="12"/>
        <v>0</v>
      </c>
    </row>
    <row r="51" spans="1:8" x14ac:dyDescent="0.2">
      <c r="A51" s="93">
        <f t="shared" si="5"/>
        <v>0</v>
      </c>
      <c r="B51" s="95">
        <f t="shared" si="6"/>
        <v>0</v>
      </c>
      <c r="C51" s="95">
        <f t="shared" si="7"/>
        <v>0</v>
      </c>
      <c r="D51" s="95">
        <f t="shared" si="8"/>
        <v>0</v>
      </c>
      <c r="E51" s="95">
        <f t="shared" si="9"/>
        <v>0</v>
      </c>
      <c r="F51" s="95">
        <f t="shared" si="10"/>
        <v>0</v>
      </c>
      <c r="G51" s="95">
        <f t="shared" si="11"/>
        <v>0</v>
      </c>
      <c r="H51" s="95">
        <f t="shared" si="12"/>
        <v>0</v>
      </c>
    </row>
    <row r="52" spans="1:8" x14ac:dyDescent="0.2">
      <c r="A52" s="93">
        <f t="shared" si="5"/>
        <v>0</v>
      </c>
      <c r="B52" s="95">
        <f t="shared" si="6"/>
        <v>0</v>
      </c>
      <c r="C52" s="95">
        <f t="shared" si="7"/>
        <v>0</v>
      </c>
      <c r="D52" s="95">
        <f t="shared" si="8"/>
        <v>0</v>
      </c>
      <c r="E52" s="95">
        <f t="shared" si="9"/>
        <v>0</v>
      </c>
      <c r="F52" s="95">
        <f t="shared" si="10"/>
        <v>0</v>
      </c>
      <c r="G52" s="95">
        <f t="shared" si="11"/>
        <v>0</v>
      </c>
      <c r="H52" s="95">
        <f t="shared" si="12"/>
        <v>0</v>
      </c>
    </row>
    <row r="53" spans="1:8" x14ac:dyDescent="0.2">
      <c r="A53" s="93" t="str">
        <f t="shared" si="5"/>
        <v>Onion</v>
      </c>
      <c r="B53" s="95">
        <f t="shared" si="6"/>
        <v>0</v>
      </c>
      <c r="C53" s="95">
        <f t="shared" si="7"/>
        <v>0</v>
      </c>
      <c r="D53" s="95">
        <f t="shared" si="8"/>
        <v>0</v>
      </c>
      <c r="E53" s="95">
        <f t="shared" si="9"/>
        <v>0</v>
      </c>
      <c r="F53" s="95">
        <f t="shared" si="10"/>
        <v>0</v>
      </c>
      <c r="G53" s="95">
        <f t="shared" si="11"/>
        <v>0</v>
      </c>
      <c r="H53" s="95">
        <f t="shared" si="12"/>
        <v>0</v>
      </c>
    </row>
    <row r="54" spans="1:8" x14ac:dyDescent="0.2">
      <c r="A54" s="93" t="str">
        <f t="shared" si="5"/>
        <v>Tomato</v>
      </c>
      <c r="B54" s="95">
        <f t="shared" si="6"/>
        <v>0</v>
      </c>
      <c r="C54" s="95">
        <f t="shared" si="7"/>
        <v>0</v>
      </c>
      <c r="D54" s="95">
        <f t="shared" si="8"/>
        <v>0</v>
      </c>
      <c r="E54" s="95">
        <f t="shared" si="9"/>
        <v>0</v>
      </c>
      <c r="F54" s="95">
        <f t="shared" si="10"/>
        <v>0</v>
      </c>
      <c r="G54" s="95">
        <f t="shared" si="11"/>
        <v>0</v>
      </c>
      <c r="H54" s="95">
        <f t="shared" si="12"/>
        <v>0</v>
      </c>
    </row>
    <row r="55" spans="1:8" x14ac:dyDescent="0.2">
      <c r="A55" s="93" t="str">
        <f t="shared" si="5"/>
        <v>Okra</v>
      </c>
      <c r="B55" s="95">
        <f t="shared" si="6"/>
        <v>0</v>
      </c>
      <c r="C55" s="95">
        <f t="shared" si="7"/>
        <v>0</v>
      </c>
      <c r="D55" s="95">
        <f t="shared" si="8"/>
        <v>0</v>
      </c>
      <c r="E55" s="95">
        <f t="shared" si="9"/>
        <v>0</v>
      </c>
      <c r="F55" s="95">
        <f t="shared" si="10"/>
        <v>0</v>
      </c>
      <c r="G55" s="95">
        <f t="shared" si="11"/>
        <v>0</v>
      </c>
      <c r="H55" s="95">
        <f t="shared" si="12"/>
        <v>0</v>
      </c>
    </row>
    <row r="56" spans="1:8" x14ac:dyDescent="0.2">
      <c r="A56" s="93" t="str">
        <f t="shared" si="5"/>
        <v>Chilli</v>
      </c>
      <c r="B56" s="95">
        <f t="shared" si="6"/>
        <v>0</v>
      </c>
      <c r="C56" s="95">
        <f t="shared" si="7"/>
        <v>0</v>
      </c>
      <c r="D56" s="95">
        <f t="shared" si="8"/>
        <v>0</v>
      </c>
      <c r="E56" s="95">
        <f t="shared" si="9"/>
        <v>0</v>
      </c>
      <c r="F56" s="95">
        <f t="shared" si="10"/>
        <v>0</v>
      </c>
      <c r="G56" s="95">
        <f t="shared" si="11"/>
        <v>0</v>
      </c>
      <c r="H56" s="95">
        <f t="shared" si="12"/>
        <v>0</v>
      </c>
    </row>
    <row r="57" spans="1:8" x14ac:dyDescent="0.2">
      <c r="A57" s="93" t="str">
        <f t="shared" si="5"/>
        <v>Brinjal</v>
      </c>
      <c r="B57" s="95">
        <f t="shared" si="6"/>
        <v>0</v>
      </c>
      <c r="C57" s="95">
        <f t="shared" si="7"/>
        <v>0</v>
      </c>
      <c r="D57" s="95">
        <f t="shared" si="8"/>
        <v>0</v>
      </c>
      <c r="E57" s="95">
        <f t="shared" si="9"/>
        <v>0</v>
      </c>
      <c r="F57" s="95">
        <f t="shared" si="10"/>
        <v>0</v>
      </c>
      <c r="G57" s="95">
        <f t="shared" si="11"/>
        <v>0</v>
      </c>
      <c r="H57" s="95">
        <f t="shared" si="12"/>
        <v>0</v>
      </c>
    </row>
    <row r="58" spans="1:8" x14ac:dyDescent="0.2">
      <c r="A58" s="93">
        <f t="shared" si="5"/>
        <v>0</v>
      </c>
      <c r="B58" s="95">
        <f t="shared" si="6"/>
        <v>0</v>
      </c>
      <c r="C58" s="95">
        <f t="shared" si="7"/>
        <v>0</v>
      </c>
      <c r="D58" s="95">
        <f t="shared" si="8"/>
        <v>0</v>
      </c>
      <c r="E58" s="95">
        <f t="shared" si="9"/>
        <v>0</v>
      </c>
      <c r="F58" s="95">
        <f t="shared" si="10"/>
        <v>0</v>
      </c>
      <c r="G58" s="95">
        <f t="shared" si="11"/>
        <v>0</v>
      </c>
      <c r="H58" s="95">
        <f t="shared" si="12"/>
        <v>0</v>
      </c>
    </row>
    <row r="59" spans="1:8" x14ac:dyDescent="0.2">
      <c r="A59" s="93">
        <f t="shared" si="5"/>
        <v>0</v>
      </c>
      <c r="B59" s="95">
        <f t="shared" si="6"/>
        <v>0</v>
      </c>
      <c r="C59" s="95">
        <f t="shared" si="7"/>
        <v>0</v>
      </c>
      <c r="D59" s="95">
        <f t="shared" si="8"/>
        <v>0</v>
      </c>
      <c r="E59" s="95">
        <f t="shared" si="9"/>
        <v>0</v>
      </c>
      <c r="F59" s="95">
        <f t="shared" si="10"/>
        <v>0</v>
      </c>
      <c r="G59" s="95">
        <f t="shared" si="11"/>
        <v>0</v>
      </c>
      <c r="H59" s="95">
        <f t="shared" si="12"/>
        <v>0</v>
      </c>
    </row>
    <row r="60" spans="1:8" x14ac:dyDescent="0.2">
      <c r="A60" s="93">
        <f t="shared" si="5"/>
        <v>0</v>
      </c>
      <c r="B60" s="95">
        <f t="shared" si="6"/>
        <v>0</v>
      </c>
      <c r="C60" s="95">
        <f t="shared" si="7"/>
        <v>0</v>
      </c>
      <c r="D60" s="95">
        <f t="shared" si="8"/>
        <v>0</v>
      </c>
      <c r="E60" s="95">
        <f t="shared" si="9"/>
        <v>0</v>
      </c>
      <c r="F60" s="95">
        <f t="shared" si="10"/>
        <v>0</v>
      </c>
      <c r="G60" s="95">
        <f t="shared" si="11"/>
        <v>0</v>
      </c>
      <c r="H60" s="95">
        <f t="shared" si="12"/>
        <v>0</v>
      </c>
    </row>
    <row r="61" spans="1:8" x14ac:dyDescent="0.2">
      <c r="A61" s="93">
        <f t="shared" si="5"/>
        <v>0</v>
      </c>
      <c r="B61" s="95">
        <f t="shared" si="6"/>
        <v>0</v>
      </c>
      <c r="C61" s="95">
        <f t="shared" si="7"/>
        <v>0</v>
      </c>
      <c r="D61" s="95">
        <f t="shared" si="8"/>
        <v>0</v>
      </c>
      <c r="E61" s="95">
        <f t="shared" si="9"/>
        <v>0</v>
      </c>
      <c r="F61" s="95">
        <f t="shared" si="10"/>
        <v>0</v>
      </c>
      <c r="G61" s="95">
        <f t="shared" si="11"/>
        <v>0</v>
      </c>
      <c r="H61" s="95">
        <f t="shared" si="12"/>
        <v>0</v>
      </c>
    </row>
    <row r="62" spans="1:8" x14ac:dyDescent="0.2">
      <c r="A62" s="93" t="str">
        <f t="shared" ref="A62" si="13">A34</f>
        <v>Pomegranate</v>
      </c>
      <c r="B62" s="95">
        <f>B34*$B$41</f>
        <v>0</v>
      </c>
      <c r="C62" s="95">
        <f t="shared" ref="C62:H62" si="14">C34*$B$41</f>
        <v>0</v>
      </c>
      <c r="D62" s="95">
        <f t="shared" si="14"/>
        <v>0</v>
      </c>
      <c r="E62" s="95">
        <f t="shared" si="14"/>
        <v>0</v>
      </c>
      <c r="F62" s="95">
        <f t="shared" si="14"/>
        <v>0</v>
      </c>
      <c r="G62" s="95">
        <f t="shared" si="14"/>
        <v>0</v>
      </c>
      <c r="H62" s="95">
        <f t="shared" si="14"/>
        <v>0</v>
      </c>
    </row>
    <row r="63" spans="1:8" x14ac:dyDescent="0.2">
      <c r="A63" s="93" t="str">
        <f>A35</f>
        <v>Custard Apple</v>
      </c>
      <c r="B63" s="95">
        <f t="shared" ref="B63:H63" si="15">B35*$B$41</f>
        <v>0</v>
      </c>
      <c r="C63" s="95">
        <f t="shared" si="15"/>
        <v>0</v>
      </c>
      <c r="D63" s="95">
        <f t="shared" si="15"/>
        <v>0</v>
      </c>
      <c r="E63" s="95">
        <f t="shared" si="15"/>
        <v>0</v>
      </c>
      <c r="F63" s="95">
        <f t="shared" si="15"/>
        <v>0</v>
      </c>
      <c r="G63" s="95">
        <f t="shared" si="15"/>
        <v>0</v>
      </c>
      <c r="H63" s="95">
        <f t="shared" si="15"/>
        <v>0</v>
      </c>
    </row>
    <row r="64" spans="1:8" x14ac:dyDescent="0.2">
      <c r="A64" s="93" t="str">
        <f>A36</f>
        <v>Guava</v>
      </c>
      <c r="B64" s="95">
        <f t="shared" ref="B64:H65" si="16">B36*$B$41</f>
        <v>0</v>
      </c>
      <c r="C64" s="95">
        <f t="shared" si="16"/>
        <v>0</v>
      </c>
      <c r="D64" s="95">
        <f t="shared" si="16"/>
        <v>0</v>
      </c>
      <c r="E64" s="95">
        <f t="shared" si="16"/>
        <v>0</v>
      </c>
      <c r="F64" s="95">
        <f t="shared" si="16"/>
        <v>0</v>
      </c>
      <c r="G64" s="95">
        <f t="shared" si="16"/>
        <v>0</v>
      </c>
      <c r="H64" s="95">
        <f t="shared" si="16"/>
        <v>0</v>
      </c>
    </row>
    <row r="65" spans="1:8" x14ac:dyDescent="0.2">
      <c r="A65" s="93" t="str">
        <f>A37</f>
        <v>Citrus</v>
      </c>
      <c r="B65" s="95">
        <f t="shared" si="16"/>
        <v>0</v>
      </c>
      <c r="C65" s="95">
        <f t="shared" si="16"/>
        <v>0</v>
      </c>
      <c r="D65" s="95">
        <f t="shared" si="16"/>
        <v>0</v>
      </c>
      <c r="E65" s="95">
        <f t="shared" si="16"/>
        <v>0</v>
      </c>
      <c r="F65" s="95">
        <f t="shared" si="16"/>
        <v>0</v>
      </c>
      <c r="G65" s="95">
        <f t="shared" si="16"/>
        <v>0</v>
      </c>
      <c r="H65" s="95">
        <f t="shared" si="16"/>
        <v>0</v>
      </c>
    </row>
    <row r="66" spans="1:8" x14ac:dyDescent="0.2">
      <c r="A66" s="98" t="s">
        <v>282</v>
      </c>
      <c r="B66" s="93"/>
      <c r="C66" s="93"/>
      <c r="D66" s="93"/>
      <c r="E66" s="93"/>
      <c r="F66" s="93"/>
      <c r="G66" s="93"/>
      <c r="H66" s="93"/>
    </row>
    <row r="67" spans="1:8" x14ac:dyDescent="0.2">
      <c r="A67" s="93" t="str">
        <f>A44</f>
        <v>Onion</v>
      </c>
      <c r="B67" s="128"/>
      <c r="C67" s="128"/>
      <c r="D67" s="128"/>
      <c r="E67" s="128"/>
      <c r="F67" s="128"/>
      <c r="G67" s="128"/>
      <c r="H67" s="128"/>
    </row>
    <row r="68" spans="1:8" x14ac:dyDescent="0.2">
      <c r="A68" s="93"/>
      <c r="B68" s="128"/>
      <c r="C68" s="128"/>
      <c r="D68" s="128"/>
      <c r="E68" s="128"/>
      <c r="F68" s="128"/>
      <c r="G68" s="128"/>
      <c r="H68" s="128"/>
    </row>
    <row r="69" spans="1:8" x14ac:dyDescent="0.2">
      <c r="A69" s="93"/>
      <c r="B69" s="128"/>
      <c r="C69" s="128"/>
      <c r="D69" s="128"/>
      <c r="E69" s="128"/>
      <c r="F69" s="128"/>
      <c r="G69" s="128"/>
      <c r="H69" s="128"/>
    </row>
    <row r="70" spans="1:8" x14ac:dyDescent="0.2">
      <c r="A70" s="93"/>
      <c r="B70" s="128"/>
      <c r="C70" s="128"/>
      <c r="D70" s="128"/>
      <c r="E70" s="128"/>
      <c r="F70" s="128"/>
      <c r="G70" s="128"/>
      <c r="H70" s="128"/>
    </row>
    <row r="71" spans="1:8" x14ac:dyDescent="0.2">
      <c r="A71" s="93" t="str">
        <f>A45</f>
        <v>Tomato</v>
      </c>
      <c r="B71" s="95"/>
      <c r="C71" s="95"/>
      <c r="D71" s="95"/>
      <c r="E71" s="95"/>
      <c r="F71" s="95"/>
      <c r="G71" s="95"/>
      <c r="H71" s="95"/>
    </row>
    <row r="72" spans="1:8" x14ac:dyDescent="0.2">
      <c r="A72" s="93"/>
      <c r="B72" s="95"/>
      <c r="C72" s="95"/>
      <c r="D72" s="95"/>
      <c r="E72" s="95"/>
      <c r="F72" s="95"/>
      <c r="G72" s="95"/>
      <c r="H72" s="95"/>
    </row>
    <row r="73" spans="1:8" x14ac:dyDescent="0.2">
      <c r="A73" s="93"/>
      <c r="B73" s="95"/>
      <c r="C73" s="95"/>
      <c r="D73" s="95"/>
      <c r="E73" s="95"/>
      <c r="F73" s="95"/>
      <c r="G73" s="95"/>
      <c r="H73" s="95"/>
    </row>
    <row r="74" spans="1:8" x14ac:dyDescent="0.2">
      <c r="A74" s="93"/>
      <c r="B74" s="95"/>
      <c r="C74" s="95"/>
      <c r="D74" s="95"/>
      <c r="E74" s="95"/>
      <c r="F74" s="95"/>
      <c r="G74" s="95"/>
      <c r="H74" s="95"/>
    </row>
    <row r="75" spans="1:8" x14ac:dyDescent="0.2">
      <c r="A75" s="93" t="str">
        <f>A46</f>
        <v>Okra</v>
      </c>
      <c r="B75" s="95"/>
      <c r="C75" s="95"/>
      <c r="D75" s="95"/>
      <c r="E75" s="95"/>
      <c r="F75" s="95"/>
      <c r="G75" s="95"/>
      <c r="H75" s="95"/>
    </row>
    <row r="76" spans="1:8" x14ac:dyDescent="0.2">
      <c r="A76" s="93"/>
      <c r="B76" s="95"/>
      <c r="C76" s="95"/>
      <c r="D76" s="95"/>
      <c r="E76" s="95"/>
      <c r="F76" s="95"/>
      <c r="G76" s="95"/>
      <c r="H76" s="95"/>
    </row>
    <row r="77" spans="1:8" x14ac:dyDescent="0.2">
      <c r="A77" s="93"/>
      <c r="B77" s="95"/>
      <c r="C77" s="95"/>
      <c r="D77" s="95"/>
      <c r="E77" s="95"/>
      <c r="F77" s="95"/>
      <c r="G77" s="95"/>
      <c r="H77" s="95"/>
    </row>
    <row r="78" spans="1:8" x14ac:dyDescent="0.2">
      <c r="A78" s="93"/>
      <c r="B78" s="95"/>
      <c r="C78" s="95"/>
      <c r="D78" s="95"/>
      <c r="E78" s="95"/>
      <c r="F78" s="95"/>
      <c r="G78" s="95"/>
      <c r="H78" s="95"/>
    </row>
    <row r="79" spans="1:8" x14ac:dyDescent="0.2">
      <c r="A79" s="93" t="str">
        <f>A47</f>
        <v>Chilli</v>
      </c>
      <c r="B79" s="95"/>
      <c r="C79" s="95"/>
      <c r="D79" s="95"/>
      <c r="E79" s="95"/>
      <c r="F79" s="95"/>
      <c r="G79" s="95"/>
      <c r="H79" s="95"/>
    </row>
    <row r="80" spans="1:8" x14ac:dyDescent="0.2">
      <c r="A80" s="93"/>
      <c r="B80" s="95"/>
      <c r="C80" s="95"/>
      <c r="D80" s="95"/>
      <c r="E80" s="95"/>
      <c r="F80" s="95"/>
      <c r="G80" s="95"/>
      <c r="H80" s="95"/>
    </row>
    <row r="81" spans="1:8" x14ac:dyDescent="0.2">
      <c r="A81" s="93"/>
      <c r="B81" s="95"/>
      <c r="C81" s="95"/>
      <c r="D81" s="95"/>
      <c r="E81" s="95"/>
      <c r="F81" s="95"/>
      <c r="G81" s="95"/>
      <c r="H81" s="95"/>
    </row>
    <row r="82" spans="1:8" x14ac:dyDescent="0.2">
      <c r="A82" s="93"/>
      <c r="B82" s="95"/>
      <c r="C82" s="95"/>
      <c r="D82" s="95"/>
      <c r="E82" s="95"/>
      <c r="F82" s="95"/>
      <c r="G82" s="95"/>
      <c r="H82" s="95"/>
    </row>
    <row r="83" spans="1:8" x14ac:dyDescent="0.2">
      <c r="A83" s="93" t="str">
        <f>A48</f>
        <v>Potato</v>
      </c>
      <c r="B83" s="95"/>
      <c r="C83" s="95"/>
      <c r="D83" s="95"/>
      <c r="E83" s="95"/>
      <c r="F83" s="95"/>
      <c r="G83" s="95"/>
      <c r="H83" s="95"/>
    </row>
    <row r="84" spans="1:8" x14ac:dyDescent="0.2">
      <c r="A84" s="93"/>
      <c r="B84" s="95"/>
      <c r="C84" s="95"/>
      <c r="D84" s="95"/>
      <c r="E84" s="95"/>
      <c r="F84" s="95"/>
      <c r="G84" s="95"/>
      <c r="H84" s="95"/>
    </row>
    <row r="85" spans="1:8" x14ac:dyDescent="0.2">
      <c r="A85" s="93"/>
      <c r="B85" s="95"/>
      <c r="C85" s="95"/>
      <c r="D85" s="95"/>
      <c r="E85" s="95"/>
      <c r="F85" s="95"/>
      <c r="G85" s="95"/>
      <c r="H85" s="95"/>
    </row>
    <row r="86" spans="1:8" x14ac:dyDescent="0.2">
      <c r="A86" s="93"/>
      <c r="B86" s="95"/>
      <c r="C86" s="95"/>
      <c r="D86" s="95"/>
      <c r="E86" s="95"/>
      <c r="F86" s="95"/>
      <c r="G86" s="95"/>
      <c r="H86" s="95"/>
    </row>
    <row r="87" spans="1:8" x14ac:dyDescent="0.2">
      <c r="A87" s="93">
        <f>A49</f>
        <v>0</v>
      </c>
      <c r="B87" s="95"/>
      <c r="C87" s="95"/>
      <c r="D87" s="95"/>
      <c r="E87" s="95"/>
      <c r="F87" s="95"/>
      <c r="G87" s="95"/>
      <c r="H87" s="95"/>
    </row>
    <row r="88" spans="1:8" x14ac:dyDescent="0.2">
      <c r="A88" s="93"/>
      <c r="B88" s="95"/>
      <c r="C88" s="95"/>
      <c r="D88" s="95"/>
      <c r="E88" s="95"/>
      <c r="F88" s="95"/>
      <c r="G88" s="95"/>
      <c r="H88" s="95"/>
    </row>
    <row r="89" spans="1:8" x14ac:dyDescent="0.2">
      <c r="A89" s="93"/>
      <c r="B89" s="95"/>
      <c r="C89" s="95"/>
      <c r="D89" s="95"/>
      <c r="E89" s="95"/>
      <c r="F89" s="95"/>
      <c r="G89" s="95"/>
      <c r="H89" s="95"/>
    </row>
    <row r="90" spans="1:8" x14ac:dyDescent="0.2">
      <c r="A90" s="93"/>
      <c r="B90" s="95"/>
      <c r="C90" s="95"/>
      <c r="D90" s="95"/>
      <c r="E90" s="95"/>
      <c r="F90" s="95"/>
      <c r="G90" s="95"/>
      <c r="H90" s="95"/>
    </row>
    <row r="91" spans="1:8" x14ac:dyDescent="0.2">
      <c r="A91" s="93">
        <f>A50</f>
        <v>0</v>
      </c>
      <c r="B91" s="95"/>
      <c r="C91" s="95"/>
      <c r="D91" s="95"/>
      <c r="E91" s="95"/>
      <c r="F91" s="95"/>
      <c r="G91" s="95"/>
      <c r="H91" s="95"/>
    </row>
    <row r="92" spans="1:8" x14ac:dyDescent="0.2">
      <c r="A92" s="93"/>
      <c r="B92" s="95"/>
      <c r="C92" s="95"/>
      <c r="D92" s="95"/>
      <c r="E92" s="95"/>
      <c r="F92" s="95"/>
      <c r="G92" s="95"/>
      <c r="H92" s="95"/>
    </row>
    <row r="93" spans="1:8" x14ac:dyDescent="0.2">
      <c r="A93" s="93"/>
      <c r="B93" s="95"/>
      <c r="C93" s="95"/>
      <c r="D93" s="95"/>
      <c r="E93" s="95"/>
      <c r="F93" s="95"/>
      <c r="G93" s="95"/>
      <c r="H93" s="95"/>
    </row>
    <row r="94" spans="1:8" x14ac:dyDescent="0.2">
      <c r="A94" s="93">
        <f>A51</f>
        <v>0</v>
      </c>
      <c r="B94" s="95"/>
      <c r="C94" s="95"/>
      <c r="D94" s="95"/>
      <c r="E94" s="95"/>
      <c r="F94" s="95"/>
      <c r="G94" s="95"/>
      <c r="H94" s="95"/>
    </row>
    <row r="95" spans="1:8" x14ac:dyDescent="0.2">
      <c r="A95" s="93"/>
      <c r="B95" s="95"/>
      <c r="C95" s="95"/>
      <c r="D95" s="95"/>
      <c r="E95" s="95"/>
      <c r="F95" s="95"/>
      <c r="G95" s="95"/>
      <c r="H95" s="95"/>
    </row>
    <row r="96" spans="1:8" x14ac:dyDescent="0.2">
      <c r="A96" s="93"/>
      <c r="B96" s="95"/>
      <c r="C96" s="95"/>
      <c r="D96" s="95"/>
      <c r="E96" s="95"/>
      <c r="F96" s="95"/>
      <c r="G96" s="95"/>
      <c r="H96" s="95"/>
    </row>
    <row r="97" spans="1:8" x14ac:dyDescent="0.2">
      <c r="A97" s="93"/>
      <c r="B97" s="95"/>
      <c r="C97" s="95"/>
      <c r="D97" s="95"/>
      <c r="E97" s="95"/>
      <c r="F97" s="95"/>
      <c r="G97" s="95"/>
      <c r="H97" s="95"/>
    </row>
    <row r="98" spans="1:8" x14ac:dyDescent="0.2">
      <c r="A98" s="93">
        <f>A52</f>
        <v>0</v>
      </c>
      <c r="B98" s="95"/>
      <c r="C98" s="95"/>
      <c r="D98" s="95"/>
      <c r="E98" s="95"/>
      <c r="F98" s="95"/>
      <c r="G98" s="95"/>
      <c r="H98" s="95"/>
    </row>
    <row r="99" spans="1:8" x14ac:dyDescent="0.2">
      <c r="A99" s="93"/>
      <c r="B99" s="95"/>
      <c r="C99" s="95"/>
      <c r="D99" s="95"/>
      <c r="E99" s="95"/>
      <c r="F99" s="95"/>
      <c r="G99" s="95"/>
      <c r="H99" s="95"/>
    </row>
    <row r="100" spans="1:8" x14ac:dyDescent="0.2">
      <c r="A100" s="93"/>
      <c r="B100" s="95"/>
      <c r="C100" s="95"/>
      <c r="D100" s="95"/>
      <c r="E100" s="95"/>
      <c r="F100" s="95"/>
      <c r="G100" s="95"/>
      <c r="H100" s="95"/>
    </row>
    <row r="101" spans="1:8" x14ac:dyDescent="0.2">
      <c r="A101" s="93"/>
      <c r="B101" s="95"/>
      <c r="C101" s="95"/>
      <c r="D101" s="95"/>
      <c r="E101" s="95"/>
      <c r="F101" s="95"/>
      <c r="G101" s="95"/>
      <c r="H101" s="95"/>
    </row>
    <row r="102" spans="1:8" x14ac:dyDescent="0.2">
      <c r="A102" s="93" t="str">
        <f>A53</f>
        <v>Onion</v>
      </c>
      <c r="B102" s="95"/>
      <c r="C102" s="95"/>
      <c r="D102" s="95"/>
      <c r="E102" s="95"/>
      <c r="F102" s="95"/>
      <c r="G102" s="95"/>
      <c r="H102" s="95"/>
    </row>
    <row r="103" spans="1:8" x14ac:dyDescent="0.2">
      <c r="A103" s="93"/>
      <c r="B103" s="95"/>
      <c r="C103" s="95"/>
      <c r="D103" s="95"/>
      <c r="E103" s="95"/>
      <c r="F103" s="95"/>
      <c r="G103" s="95"/>
      <c r="H103" s="95"/>
    </row>
    <row r="104" spans="1:8" x14ac:dyDescent="0.2">
      <c r="A104" s="93"/>
      <c r="B104" s="95"/>
      <c r="C104" s="95"/>
      <c r="D104" s="95"/>
      <c r="E104" s="95"/>
      <c r="F104" s="95"/>
      <c r="G104" s="95"/>
      <c r="H104" s="95"/>
    </row>
    <row r="105" spans="1:8" x14ac:dyDescent="0.2">
      <c r="A105" s="93"/>
      <c r="B105" s="95"/>
      <c r="C105" s="95"/>
      <c r="D105" s="95"/>
      <c r="E105" s="95"/>
      <c r="F105" s="95"/>
      <c r="G105" s="95"/>
      <c r="H105" s="95"/>
    </row>
    <row r="106" spans="1:8" x14ac:dyDescent="0.2">
      <c r="A106" s="93" t="str">
        <f>A54</f>
        <v>Tomato</v>
      </c>
      <c r="B106" s="95"/>
      <c r="C106" s="95"/>
      <c r="D106" s="95"/>
      <c r="E106" s="95"/>
      <c r="F106" s="95"/>
      <c r="G106" s="95"/>
      <c r="H106" s="95"/>
    </row>
    <row r="107" spans="1:8" x14ac:dyDescent="0.2">
      <c r="A107" s="93"/>
      <c r="B107" s="95"/>
      <c r="C107" s="95"/>
      <c r="D107" s="95"/>
      <c r="E107" s="95"/>
      <c r="F107" s="95"/>
      <c r="G107" s="95"/>
      <c r="H107" s="95"/>
    </row>
    <row r="108" spans="1:8" x14ac:dyDescent="0.2">
      <c r="A108" s="93"/>
      <c r="B108" s="95"/>
      <c r="C108" s="95"/>
      <c r="D108" s="95"/>
      <c r="E108" s="95"/>
      <c r="F108" s="95"/>
      <c r="G108" s="95"/>
      <c r="H108" s="95"/>
    </row>
    <row r="109" spans="1:8" x14ac:dyDescent="0.2">
      <c r="A109" s="93"/>
      <c r="B109" s="95"/>
      <c r="C109" s="95"/>
      <c r="D109" s="95"/>
      <c r="E109" s="95"/>
      <c r="F109" s="95"/>
      <c r="G109" s="95"/>
      <c r="H109" s="95"/>
    </row>
    <row r="110" spans="1:8" x14ac:dyDescent="0.2">
      <c r="A110" s="93" t="str">
        <f>A55</f>
        <v>Okra</v>
      </c>
      <c r="B110" s="95"/>
      <c r="C110" s="95"/>
      <c r="D110" s="95"/>
      <c r="E110" s="95"/>
      <c r="F110" s="95"/>
      <c r="G110" s="95"/>
      <c r="H110" s="95"/>
    </row>
    <row r="111" spans="1:8" x14ac:dyDescent="0.2">
      <c r="A111" s="93"/>
      <c r="B111" s="95"/>
      <c r="C111" s="95"/>
      <c r="D111" s="95"/>
      <c r="E111" s="95"/>
      <c r="F111" s="95"/>
      <c r="G111" s="95"/>
      <c r="H111" s="95"/>
    </row>
    <row r="112" spans="1:8" x14ac:dyDescent="0.2">
      <c r="A112" s="93"/>
      <c r="B112" s="95"/>
      <c r="C112" s="95"/>
      <c r="D112" s="95"/>
      <c r="E112" s="95"/>
      <c r="F112" s="95"/>
      <c r="G112" s="95"/>
      <c r="H112" s="95"/>
    </row>
    <row r="113" spans="1:8" x14ac:dyDescent="0.2">
      <c r="A113" s="93"/>
      <c r="B113" s="95"/>
      <c r="C113" s="95"/>
      <c r="D113" s="95"/>
      <c r="E113" s="95"/>
      <c r="F113" s="95"/>
      <c r="G113" s="95"/>
      <c r="H113" s="95"/>
    </row>
    <row r="114" spans="1:8" x14ac:dyDescent="0.2">
      <c r="A114" s="93" t="str">
        <f>A56</f>
        <v>Chilli</v>
      </c>
      <c r="B114" s="95"/>
      <c r="C114" s="95"/>
      <c r="D114" s="95"/>
      <c r="E114" s="95"/>
      <c r="F114" s="95"/>
      <c r="G114" s="95"/>
      <c r="H114" s="95"/>
    </row>
    <row r="115" spans="1:8" x14ac:dyDescent="0.2">
      <c r="A115" s="93"/>
      <c r="B115" s="95"/>
      <c r="C115" s="95"/>
      <c r="D115" s="95"/>
      <c r="E115" s="95"/>
      <c r="F115" s="95"/>
      <c r="G115" s="95"/>
      <c r="H115" s="95"/>
    </row>
    <row r="116" spans="1:8" x14ac:dyDescent="0.2">
      <c r="A116" s="93"/>
      <c r="B116" s="95"/>
      <c r="C116" s="95"/>
      <c r="D116" s="95"/>
      <c r="E116" s="95"/>
      <c r="F116" s="95"/>
      <c r="G116" s="95"/>
      <c r="H116" s="95"/>
    </row>
    <row r="117" spans="1:8" x14ac:dyDescent="0.2">
      <c r="A117" s="93"/>
      <c r="B117" s="95"/>
      <c r="C117" s="95"/>
      <c r="D117" s="95"/>
      <c r="E117" s="95"/>
      <c r="F117" s="95"/>
      <c r="G117" s="95"/>
      <c r="H117" s="95"/>
    </row>
    <row r="118" spans="1:8" x14ac:dyDescent="0.2">
      <c r="A118" s="98" t="str">
        <f t="shared" ref="A118:A123" si="17">A57</f>
        <v>Brinjal</v>
      </c>
      <c r="B118" s="95"/>
      <c r="C118" s="95"/>
      <c r="D118" s="95"/>
      <c r="E118" s="95"/>
      <c r="F118" s="95"/>
      <c r="G118" s="95"/>
      <c r="H118" s="95"/>
    </row>
    <row r="119" spans="1:8" x14ac:dyDescent="0.2">
      <c r="A119" s="93">
        <f t="shared" si="17"/>
        <v>0</v>
      </c>
      <c r="B119" s="95"/>
      <c r="C119" s="95"/>
      <c r="D119" s="95"/>
      <c r="E119" s="95"/>
      <c r="F119" s="95"/>
      <c r="G119" s="95"/>
      <c r="H119" s="95"/>
    </row>
    <row r="120" spans="1:8" x14ac:dyDescent="0.2">
      <c r="A120" s="93">
        <f t="shared" si="17"/>
        <v>0</v>
      </c>
      <c r="B120" s="95"/>
      <c r="C120" s="95"/>
      <c r="D120" s="95"/>
      <c r="E120" s="95"/>
      <c r="F120" s="95"/>
      <c r="G120" s="95"/>
      <c r="H120" s="95"/>
    </row>
    <row r="121" spans="1:8" x14ac:dyDescent="0.2">
      <c r="A121" s="93">
        <f t="shared" si="17"/>
        <v>0</v>
      </c>
      <c r="B121" s="95"/>
      <c r="C121" s="95"/>
      <c r="D121" s="95"/>
      <c r="E121" s="95"/>
      <c r="F121" s="95"/>
      <c r="G121" s="95"/>
      <c r="H121" s="95"/>
    </row>
    <row r="122" spans="1:8" x14ac:dyDescent="0.2">
      <c r="A122" s="93">
        <f t="shared" si="17"/>
        <v>0</v>
      </c>
      <c r="B122" s="95"/>
      <c r="C122" s="95"/>
      <c r="D122" s="95"/>
      <c r="E122" s="95"/>
      <c r="F122" s="95"/>
      <c r="G122" s="95"/>
      <c r="H122" s="95"/>
    </row>
    <row r="123" spans="1:8" x14ac:dyDescent="0.2">
      <c r="A123" s="98" t="str">
        <f t="shared" si="17"/>
        <v>Pomegranate</v>
      </c>
      <c r="B123" s="95"/>
      <c r="C123" s="95"/>
      <c r="D123" s="95"/>
      <c r="E123" s="95"/>
      <c r="F123" s="95"/>
      <c r="G123" s="95"/>
      <c r="H123" s="95"/>
    </row>
    <row r="124" spans="1:8" x14ac:dyDescent="0.2">
      <c r="A124" s="93" t="s">
        <v>514</v>
      </c>
      <c r="B124" s="95">
        <f>(B$62*50%)*0.7</f>
        <v>0</v>
      </c>
      <c r="C124" s="95">
        <f>(C$62*50%)*0.7</f>
        <v>0</v>
      </c>
      <c r="D124" s="95">
        <f t="shared" ref="D124:H126" si="18">(D$62*50%)*0.7</f>
        <v>0</v>
      </c>
      <c r="E124" s="95">
        <f t="shared" si="18"/>
        <v>0</v>
      </c>
      <c r="F124" s="95">
        <f t="shared" si="18"/>
        <v>0</v>
      </c>
      <c r="G124" s="95">
        <f t="shared" si="18"/>
        <v>0</v>
      </c>
      <c r="H124" s="95">
        <f t="shared" si="18"/>
        <v>0</v>
      </c>
    </row>
    <row r="125" spans="1:8" x14ac:dyDescent="0.2">
      <c r="A125" s="93" t="s">
        <v>512</v>
      </c>
      <c r="B125" s="95">
        <f>(B$62*50%)*0.7*2</f>
        <v>0</v>
      </c>
      <c r="C125" s="95">
        <f>(C$62*50%)*0.7</f>
        <v>0</v>
      </c>
      <c r="D125" s="95">
        <f t="shared" si="18"/>
        <v>0</v>
      </c>
      <c r="E125" s="95">
        <f t="shared" si="18"/>
        <v>0</v>
      </c>
      <c r="F125" s="95">
        <f t="shared" si="18"/>
        <v>0</v>
      </c>
      <c r="G125" s="95">
        <f t="shared" si="18"/>
        <v>0</v>
      </c>
      <c r="H125" s="95">
        <f t="shared" si="18"/>
        <v>0</v>
      </c>
    </row>
    <row r="126" spans="1:8" x14ac:dyDescent="0.2">
      <c r="A126" s="93" t="s">
        <v>513</v>
      </c>
      <c r="B126" s="95">
        <f>(B$62*0.3)*0.2</f>
        <v>0</v>
      </c>
      <c r="C126" s="95">
        <f>(C$62*50%)*0.7</f>
        <v>0</v>
      </c>
      <c r="D126" s="95">
        <f t="shared" si="18"/>
        <v>0</v>
      </c>
      <c r="E126" s="95">
        <f t="shared" si="18"/>
        <v>0</v>
      </c>
      <c r="F126" s="95">
        <f t="shared" si="18"/>
        <v>0</v>
      </c>
      <c r="G126" s="95">
        <f t="shared" si="18"/>
        <v>0</v>
      </c>
      <c r="H126" s="95">
        <f t="shared" si="18"/>
        <v>0</v>
      </c>
    </row>
    <row r="127" spans="1:8" x14ac:dyDescent="0.2">
      <c r="A127" s="93" t="str">
        <f t="shared" ref="A127" si="19">A63</f>
        <v>Custard Apple</v>
      </c>
      <c r="B127" s="95"/>
      <c r="C127" s="95"/>
      <c r="D127" s="95"/>
      <c r="E127" s="95"/>
      <c r="F127" s="95"/>
      <c r="G127" s="95"/>
      <c r="H127" s="95"/>
    </row>
    <row r="128" spans="1:8" x14ac:dyDescent="0.2">
      <c r="A128" s="93"/>
      <c r="B128" s="95"/>
      <c r="C128" s="95"/>
      <c r="D128" s="95"/>
      <c r="E128" s="95"/>
      <c r="F128" s="95"/>
      <c r="G128" s="95"/>
      <c r="H128" s="95"/>
    </row>
    <row r="129" spans="1:8" x14ac:dyDescent="0.2">
      <c r="A129" s="93"/>
      <c r="B129" s="95"/>
      <c r="C129" s="95"/>
      <c r="D129" s="95"/>
      <c r="E129" s="95"/>
      <c r="F129" s="95"/>
      <c r="G129" s="95"/>
      <c r="H129" s="95"/>
    </row>
    <row r="130" spans="1:8" x14ac:dyDescent="0.2">
      <c r="A130" s="93"/>
      <c r="B130" s="95"/>
      <c r="C130" s="95"/>
      <c r="D130" s="95"/>
      <c r="E130" s="95"/>
      <c r="F130" s="95"/>
      <c r="G130" s="95"/>
      <c r="H130" s="95"/>
    </row>
    <row r="131" spans="1:8" x14ac:dyDescent="0.2">
      <c r="A131" s="93" t="str">
        <f>A64</f>
        <v>Guava</v>
      </c>
      <c r="B131" s="95"/>
      <c r="C131" s="95"/>
      <c r="D131" s="95"/>
      <c r="E131" s="95"/>
      <c r="F131" s="95"/>
      <c r="G131" s="95"/>
      <c r="H131" s="95"/>
    </row>
    <row r="132" spans="1:8" x14ac:dyDescent="0.2">
      <c r="A132" s="93"/>
      <c r="B132" s="95"/>
      <c r="C132" s="95"/>
      <c r="D132" s="95"/>
      <c r="E132" s="95"/>
      <c r="F132" s="95"/>
      <c r="G132" s="95"/>
      <c r="H132" s="95"/>
    </row>
    <row r="133" spans="1:8" x14ac:dyDescent="0.2">
      <c r="A133" s="93"/>
      <c r="B133" s="95"/>
      <c r="C133" s="95"/>
      <c r="D133" s="95"/>
      <c r="E133" s="95"/>
      <c r="F133" s="95"/>
      <c r="G133" s="95"/>
      <c r="H133" s="95"/>
    </row>
    <row r="134" spans="1:8" x14ac:dyDescent="0.2">
      <c r="A134" s="93"/>
      <c r="B134" s="95"/>
      <c r="C134" s="95"/>
      <c r="D134" s="95"/>
      <c r="E134" s="95"/>
      <c r="F134" s="95"/>
      <c r="G134" s="95"/>
      <c r="H134" s="95"/>
    </row>
    <row r="135" spans="1:8" x14ac:dyDescent="0.2">
      <c r="A135" s="93" t="str">
        <f>A65</f>
        <v>Citrus</v>
      </c>
      <c r="B135" s="95"/>
      <c r="C135" s="95"/>
      <c r="D135" s="95"/>
      <c r="E135" s="95"/>
      <c r="F135" s="95"/>
      <c r="G135" s="95"/>
      <c r="H135" s="95"/>
    </row>
    <row r="136" spans="1:8" x14ac:dyDescent="0.2">
      <c r="A136" s="93"/>
      <c r="B136" s="95"/>
      <c r="C136" s="95"/>
      <c r="D136" s="95"/>
      <c r="E136" s="95"/>
      <c r="F136" s="95"/>
      <c r="G136" s="95"/>
      <c r="H136" s="95"/>
    </row>
    <row r="137" spans="1:8" x14ac:dyDescent="0.2">
      <c r="A137" s="93"/>
      <c r="B137" s="95"/>
      <c r="C137" s="95"/>
      <c r="D137" s="95"/>
      <c r="E137" s="95"/>
      <c r="F137" s="95"/>
      <c r="G137" s="95"/>
      <c r="H137" s="95"/>
    </row>
    <row r="138" spans="1:8" x14ac:dyDescent="0.2">
      <c r="A138" s="93"/>
      <c r="B138" s="95"/>
      <c r="C138" s="95"/>
      <c r="D138" s="95"/>
      <c r="E138" s="95"/>
      <c r="F138" s="95"/>
      <c r="G138" s="95"/>
      <c r="H138" s="95"/>
    </row>
    <row r="139" spans="1:8" x14ac:dyDescent="0.2">
      <c r="B139" s="99"/>
      <c r="C139" s="99"/>
      <c r="D139" s="99"/>
      <c r="E139" s="99"/>
      <c r="F139" s="99"/>
      <c r="G139" s="99"/>
      <c r="H139" s="99"/>
    </row>
    <row r="140" spans="1:8" x14ac:dyDescent="0.2">
      <c r="A140" s="92" t="s">
        <v>436</v>
      </c>
    </row>
    <row r="141" spans="1:8" x14ac:dyDescent="0.2">
      <c r="A141" s="92" t="s">
        <v>517</v>
      </c>
      <c r="B141" s="147">
        <f t="shared" ref="B141:C143" si="20">(B124*100)</f>
        <v>0</v>
      </c>
      <c r="C141" s="147">
        <f t="shared" si="20"/>
        <v>0</v>
      </c>
      <c r="D141" s="147">
        <f t="shared" ref="D141:H141" si="21">(D124*100)</f>
        <v>0</v>
      </c>
      <c r="E141" s="147">
        <f t="shared" si="21"/>
        <v>0</v>
      </c>
      <c r="F141" s="147">
        <f t="shared" si="21"/>
        <v>0</v>
      </c>
      <c r="G141" s="147">
        <f t="shared" si="21"/>
        <v>0</v>
      </c>
      <c r="H141" s="147">
        <f t="shared" si="21"/>
        <v>0</v>
      </c>
    </row>
    <row r="142" spans="1:8" x14ac:dyDescent="0.2">
      <c r="A142" s="92" t="s">
        <v>518</v>
      </c>
      <c r="B142" s="147">
        <f t="shared" si="20"/>
        <v>0</v>
      </c>
      <c r="C142" s="147">
        <f t="shared" si="20"/>
        <v>0</v>
      </c>
      <c r="D142" s="147">
        <f t="shared" ref="D142:H142" si="22">(D125*100)</f>
        <v>0</v>
      </c>
      <c r="E142" s="147">
        <f t="shared" si="22"/>
        <v>0</v>
      </c>
      <c r="F142" s="147">
        <f t="shared" si="22"/>
        <v>0</v>
      </c>
      <c r="G142" s="147">
        <f t="shared" si="22"/>
        <v>0</v>
      </c>
      <c r="H142" s="147">
        <f t="shared" si="22"/>
        <v>0</v>
      </c>
    </row>
    <row r="143" spans="1:8" x14ac:dyDescent="0.2">
      <c r="A143" s="92" t="s">
        <v>519</v>
      </c>
      <c r="B143" s="147">
        <f t="shared" si="20"/>
        <v>0</v>
      </c>
      <c r="C143" s="147">
        <f t="shared" si="20"/>
        <v>0</v>
      </c>
      <c r="D143" s="147">
        <f t="shared" ref="D143:H143" si="23">(D126*100)</f>
        <v>0</v>
      </c>
      <c r="E143" s="147">
        <f t="shared" si="23"/>
        <v>0</v>
      </c>
      <c r="F143" s="147">
        <f t="shared" si="23"/>
        <v>0</v>
      </c>
      <c r="G143" s="147">
        <f t="shared" si="23"/>
        <v>0</v>
      </c>
      <c r="H143" s="147">
        <f t="shared" si="23"/>
        <v>0</v>
      </c>
    </row>
    <row r="145" spans="1:10" x14ac:dyDescent="0.2">
      <c r="B145" s="147"/>
      <c r="C145" s="147"/>
    </row>
    <row r="146" spans="1:10" x14ac:dyDescent="0.2">
      <c r="B146" s="147"/>
      <c r="C146" s="147"/>
      <c r="D146" s="147"/>
    </row>
    <row r="147" spans="1:10" ht="18.75" x14ac:dyDescent="0.25">
      <c r="A147" s="427" t="s">
        <v>589</v>
      </c>
      <c r="B147" s="427"/>
      <c r="C147" s="427"/>
      <c r="D147" s="427"/>
      <c r="E147" s="427"/>
      <c r="F147" s="427"/>
      <c r="G147" s="427"/>
      <c r="H147" s="427"/>
      <c r="I147" s="427"/>
      <c r="J147" s="427"/>
    </row>
    <row r="148" spans="1:10" x14ac:dyDescent="0.2">
      <c r="A148" s="135"/>
      <c r="B148" s="135"/>
      <c r="C148" s="135"/>
      <c r="D148" s="135"/>
      <c r="E148" s="135"/>
      <c r="F148" s="135"/>
      <c r="G148" s="135"/>
      <c r="H148" s="135"/>
    </row>
    <row r="149" spans="1:10" x14ac:dyDescent="0.2">
      <c r="A149" s="135"/>
      <c r="B149" s="135"/>
      <c r="C149" s="135"/>
      <c r="D149" s="136">
        <v>1</v>
      </c>
      <c r="E149" s="137">
        <f>(D149*5%)+D149</f>
        <v>1.05</v>
      </c>
      <c r="F149" s="137">
        <f t="shared" ref="F149:J149" si="24">(E149*5%)+E149</f>
        <v>1.1025</v>
      </c>
      <c r="G149" s="137">
        <f t="shared" si="24"/>
        <v>1.1576250000000001</v>
      </c>
      <c r="H149" s="137">
        <f t="shared" si="24"/>
        <v>1.2155062500000002</v>
      </c>
      <c r="I149" s="137">
        <f t="shared" si="24"/>
        <v>1.2762815625000004</v>
      </c>
      <c r="J149" s="137">
        <f t="shared" si="24"/>
        <v>1.3400956406250004</v>
      </c>
    </row>
    <row r="151" spans="1:10" x14ac:dyDescent="0.2">
      <c r="A151" s="126" t="s">
        <v>0</v>
      </c>
      <c r="B151" s="126" t="s">
        <v>132</v>
      </c>
      <c r="C151" s="126" t="s">
        <v>152</v>
      </c>
      <c r="D151" s="127" t="s">
        <v>2</v>
      </c>
      <c r="E151" s="127" t="s">
        <v>3</v>
      </c>
      <c r="F151" s="127" t="s">
        <v>4</v>
      </c>
      <c r="G151" s="127" t="s">
        <v>5</v>
      </c>
      <c r="H151" s="127" t="s">
        <v>6</v>
      </c>
      <c r="I151" s="127" t="s">
        <v>168</v>
      </c>
      <c r="J151" s="127" t="s">
        <v>167</v>
      </c>
    </row>
    <row r="152" spans="1:10" x14ac:dyDescent="0.2">
      <c r="A152" s="93"/>
      <c r="B152" s="93"/>
      <c r="C152" s="93"/>
      <c r="D152" s="93"/>
      <c r="E152" s="93"/>
      <c r="F152" s="93"/>
      <c r="G152" s="93"/>
      <c r="H152" s="93"/>
      <c r="I152" s="93"/>
      <c r="J152" s="93"/>
    </row>
    <row r="153" spans="1:10" x14ac:dyDescent="0.2">
      <c r="A153" s="98" t="s">
        <v>126</v>
      </c>
      <c r="B153" s="98"/>
      <c r="C153" s="98"/>
      <c r="D153" s="340"/>
      <c r="E153" s="340"/>
      <c r="F153" s="340"/>
      <c r="G153" s="340"/>
      <c r="H153" s="340"/>
      <c r="I153" s="93"/>
      <c r="J153" s="93"/>
    </row>
    <row r="154" spans="1:10" x14ac:dyDescent="0.2">
      <c r="A154" s="93" t="str">
        <f>A124</f>
        <v>Pomegranate Arils</v>
      </c>
      <c r="B154" s="239" t="s">
        <v>516</v>
      </c>
      <c r="C154" s="239">
        <v>200</v>
      </c>
      <c r="D154" s="95">
        <f>(B141*(1-'5.Closing Stock &amp; W Capital'!$D$18)*$C154*D$149)</f>
        <v>0</v>
      </c>
      <c r="E154" s="95">
        <f>(((C141*(1-'5.Closing Stock &amp; W Capital'!$D$18))+(B141*'5.Closing Stock &amp; W Capital'!$D$18))*$C154*E$149)</f>
        <v>0</v>
      </c>
      <c r="F154" s="95">
        <f>(((D141*(1-'5.Closing Stock &amp; W Capital'!$D$18))+(C141*'5.Closing Stock &amp; W Capital'!$D$18))*$C154*F$149)</f>
        <v>0</v>
      </c>
      <c r="G154" s="95">
        <f>(((E141*(1-'5.Closing Stock &amp; W Capital'!$D$18))+(D141*'5.Closing Stock &amp; W Capital'!$D$18))*$C154*G$149)</f>
        <v>0</v>
      </c>
      <c r="H154" s="95">
        <f>(((F141*(1-'5.Closing Stock &amp; W Capital'!$D$18))+(E141*'5.Closing Stock &amp; W Capital'!$D$18))*$C154*H$149)</f>
        <v>0</v>
      </c>
      <c r="I154" s="95">
        <f>(((G141*(1-'5.Closing Stock &amp; W Capital'!$D$18))+(F141*'5.Closing Stock &amp; W Capital'!$D$18))*$C154*I$149)</f>
        <v>0</v>
      </c>
      <c r="J154" s="95">
        <f>(((H141*(1-'5.Closing Stock &amp; W Capital'!$D$18))+(G141*'5.Closing Stock &amp; W Capital'!$D$18))*$C154*J$149)</f>
        <v>0</v>
      </c>
    </row>
    <row r="155" spans="1:10" x14ac:dyDescent="0.2">
      <c r="A155" s="93" t="str">
        <f>A125</f>
        <v>Pomegranate Juice</v>
      </c>
      <c r="B155" s="239" t="s">
        <v>515</v>
      </c>
      <c r="C155" s="239">
        <v>50</v>
      </c>
      <c r="D155" s="95">
        <f>(B142*(1-'5.Closing Stock &amp; W Capital'!$D$18)*$C155*D$149)</f>
        <v>0</v>
      </c>
      <c r="E155" s="95">
        <f>(((C142*(1-'5.Closing Stock &amp; W Capital'!$D$18))+(B142*'5.Closing Stock &amp; W Capital'!$D$18))*$C155*E$149)</f>
        <v>0</v>
      </c>
      <c r="F155" s="95">
        <f>(((D142*(1-'5.Closing Stock &amp; W Capital'!$D$18))+(C142*'5.Closing Stock &amp; W Capital'!$D$18))*$C155*F$149)</f>
        <v>0</v>
      </c>
      <c r="G155" s="95">
        <f>(((E142*(1-'5.Closing Stock &amp; W Capital'!$D$18))+(D142*'5.Closing Stock &amp; W Capital'!$D$18))*$C155*G$149)</f>
        <v>0</v>
      </c>
      <c r="H155" s="95">
        <f>(((F142*(1-'5.Closing Stock &amp; W Capital'!$D$18))+(E142*'5.Closing Stock &amp; W Capital'!$D$18))*$C155*H$149)</f>
        <v>0</v>
      </c>
      <c r="I155" s="95">
        <f>(((G142*(1-'5.Closing Stock &amp; W Capital'!$D$18))+(F142*'5.Closing Stock &amp; W Capital'!$D$18))*$C155*I$149)</f>
        <v>0</v>
      </c>
      <c r="J155" s="95">
        <f>(((H142*(1-'5.Closing Stock &amp; W Capital'!$D$18))+(G142*'5.Closing Stock &amp; W Capital'!$D$18))*$C155*J$149)</f>
        <v>0</v>
      </c>
    </row>
    <row r="156" spans="1:10" x14ac:dyDescent="0.2">
      <c r="A156" s="93" t="str">
        <f>A126</f>
        <v>Pomegranate Powder</v>
      </c>
      <c r="B156" s="239" t="s">
        <v>354</v>
      </c>
      <c r="C156" s="239">
        <v>50</v>
      </c>
      <c r="D156" s="95">
        <f>(B143*(1-'5.Closing Stock &amp; W Capital'!$D$18)*$C156*D$149)</f>
        <v>0</v>
      </c>
      <c r="E156" s="95">
        <f>(((C143*(1-'5.Closing Stock &amp; W Capital'!$D$18))+(B143*'5.Closing Stock &amp; W Capital'!$D$18))*$C156*E$149)</f>
        <v>0</v>
      </c>
      <c r="F156" s="95">
        <f>(((D143*(1-'5.Closing Stock &amp; W Capital'!$D$18))+(C143*'5.Closing Stock &amp; W Capital'!$D$18))*$C156*F$149)</f>
        <v>0</v>
      </c>
      <c r="G156" s="95">
        <f>(((E143*(1-'5.Closing Stock &amp; W Capital'!$D$18))+(D143*'5.Closing Stock &amp; W Capital'!$D$18))*$C156*G$149)</f>
        <v>0</v>
      </c>
      <c r="H156" s="95">
        <f>(((F143*(1-'5.Closing Stock &amp; W Capital'!$D$18))+(E143*'5.Closing Stock &amp; W Capital'!$D$18))*$C156*H$149)</f>
        <v>0</v>
      </c>
      <c r="I156" s="95">
        <f>(((G143*(1-'5.Closing Stock &amp; W Capital'!$D$18))+(F143*'5.Closing Stock &amp; W Capital'!$D$18))*$C156*I$149)</f>
        <v>0</v>
      </c>
      <c r="J156" s="95">
        <f>(((H143*(1-'5.Closing Stock &amp; W Capital'!$D$18))+(G143*'5.Closing Stock &amp; W Capital'!$D$18))*$C156*J$149)</f>
        <v>0</v>
      </c>
    </row>
    <row r="157" spans="1:10" x14ac:dyDescent="0.2">
      <c r="A157" s="93"/>
      <c r="B157" s="239"/>
      <c r="C157" s="239"/>
      <c r="D157" s="95"/>
      <c r="E157" s="95"/>
      <c r="F157" s="95"/>
      <c r="G157" s="95"/>
      <c r="H157" s="95"/>
      <c r="I157" s="95"/>
      <c r="J157" s="95"/>
    </row>
    <row r="158" spans="1:10" x14ac:dyDescent="0.2">
      <c r="A158" s="93"/>
      <c r="B158" s="93"/>
      <c r="C158" s="93"/>
      <c r="D158" s="95"/>
      <c r="E158" s="95"/>
      <c r="F158" s="95"/>
      <c r="G158" s="95"/>
      <c r="H158" s="95"/>
      <c r="I158" s="95"/>
      <c r="J158" s="95"/>
    </row>
    <row r="159" spans="1:10" x14ac:dyDescent="0.2">
      <c r="A159" s="98" t="s">
        <v>126</v>
      </c>
      <c r="B159" s="98"/>
      <c r="C159" s="98"/>
      <c r="D159" s="104">
        <f>SUM(D154:D158)</f>
        <v>0</v>
      </c>
      <c r="E159" s="104">
        <f t="shared" ref="E159:J159" si="25">SUM(E154:E158)</f>
        <v>0</v>
      </c>
      <c r="F159" s="104">
        <f t="shared" si="25"/>
        <v>0</v>
      </c>
      <c r="G159" s="104">
        <f t="shared" si="25"/>
        <v>0</v>
      </c>
      <c r="H159" s="104">
        <f t="shared" si="25"/>
        <v>0</v>
      </c>
      <c r="I159" s="104">
        <f t="shared" si="25"/>
        <v>0</v>
      </c>
      <c r="J159" s="104">
        <f t="shared" si="25"/>
        <v>0</v>
      </c>
    </row>
    <row r="160" spans="1:10" x14ac:dyDescent="0.2">
      <c r="A160" s="93"/>
      <c r="B160" s="93"/>
      <c r="C160" s="93"/>
      <c r="D160" s="95"/>
      <c r="E160" s="95"/>
      <c r="F160" s="95"/>
      <c r="G160" s="95"/>
      <c r="H160" s="95"/>
      <c r="I160" s="95"/>
      <c r="J160" s="95"/>
    </row>
    <row r="161" spans="1:10" x14ac:dyDescent="0.2">
      <c r="A161" s="98" t="s">
        <v>142</v>
      </c>
      <c r="B161" s="98"/>
      <c r="C161" s="98"/>
      <c r="D161" s="95"/>
      <c r="E161" s="95"/>
      <c r="F161" s="95"/>
      <c r="G161" s="95"/>
      <c r="H161" s="95"/>
      <c r="I161" s="95"/>
      <c r="J161" s="95"/>
    </row>
    <row r="162" spans="1:10" x14ac:dyDescent="0.2">
      <c r="A162" s="98" t="s">
        <v>306</v>
      </c>
      <c r="B162" s="98"/>
      <c r="C162" s="93"/>
      <c r="D162" s="95"/>
      <c r="E162" s="95"/>
      <c r="F162" s="95"/>
      <c r="G162" s="95"/>
      <c r="H162" s="95"/>
      <c r="I162" s="95"/>
      <c r="J162" s="95"/>
    </row>
    <row r="163" spans="1:10" x14ac:dyDescent="0.2">
      <c r="A163" s="93" t="s">
        <v>520</v>
      </c>
      <c r="B163" s="239" t="s">
        <v>355</v>
      </c>
      <c r="C163" s="388">
        <v>6000</v>
      </c>
      <c r="D163" s="95">
        <f>B62*$C163*D$149</f>
        <v>0</v>
      </c>
      <c r="E163" s="95">
        <f>C62*$C163*E$149</f>
        <v>0</v>
      </c>
      <c r="F163" s="95">
        <f t="shared" ref="F163:J163" si="26">D62*$C163*F$149</f>
        <v>0</v>
      </c>
      <c r="G163" s="95">
        <f t="shared" si="26"/>
        <v>0</v>
      </c>
      <c r="H163" s="95">
        <f t="shared" si="26"/>
        <v>0</v>
      </c>
      <c r="I163" s="95">
        <f t="shared" si="26"/>
        <v>0</v>
      </c>
      <c r="J163" s="95">
        <f t="shared" si="26"/>
        <v>0</v>
      </c>
    </row>
    <row r="164" spans="1:10" x14ac:dyDescent="0.2">
      <c r="A164" s="93" t="s">
        <v>521</v>
      </c>
      <c r="B164" s="239" t="s">
        <v>355</v>
      </c>
      <c r="C164" s="239">
        <v>2000</v>
      </c>
      <c r="D164" s="95">
        <f>(B62*10%)*$C164*D$149</f>
        <v>0</v>
      </c>
      <c r="E164" s="95">
        <f t="shared" ref="E164:J164" si="27">(C62*10%)*$C164*E$149</f>
        <v>0</v>
      </c>
      <c r="F164" s="95">
        <f t="shared" si="27"/>
        <v>0</v>
      </c>
      <c r="G164" s="95">
        <f t="shared" si="27"/>
        <v>0</v>
      </c>
      <c r="H164" s="95">
        <f t="shared" si="27"/>
        <v>0</v>
      </c>
      <c r="I164" s="95">
        <f t="shared" si="27"/>
        <v>0</v>
      </c>
      <c r="J164" s="95">
        <f t="shared" si="27"/>
        <v>0</v>
      </c>
    </row>
    <row r="165" spans="1:10" x14ac:dyDescent="0.2">
      <c r="A165" s="93" t="s">
        <v>311</v>
      </c>
      <c r="B165" s="239">
        <v>5</v>
      </c>
      <c r="C165" s="239">
        <v>300</v>
      </c>
      <c r="D165" s="95">
        <f t="shared" ref="D165:J165" si="28">B12*$B$165*$C$165*D149</f>
        <v>0</v>
      </c>
      <c r="E165" s="95">
        <f t="shared" si="28"/>
        <v>0</v>
      </c>
      <c r="F165" s="95">
        <f t="shared" si="28"/>
        <v>0</v>
      </c>
      <c r="G165" s="95">
        <f t="shared" si="28"/>
        <v>0</v>
      </c>
      <c r="H165" s="95">
        <f t="shared" si="28"/>
        <v>0</v>
      </c>
      <c r="I165" s="95">
        <f t="shared" si="28"/>
        <v>0</v>
      </c>
      <c r="J165" s="95">
        <f t="shared" si="28"/>
        <v>0</v>
      </c>
    </row>
    <row r="166" spans="1:10" x14ac:dyDescent="0.2">
      <c r="A166" s="93" t="s">
        <v>144</v>
      </c>
      <c r="B166" s="93">
        <f>'2.Capex Details'!H73*0.746*8</f>
        <v>0</v>
      </c>
      <c r="C166" s="239">
        <v>8</v>
      </c>
      <c r="D166" s="95">
        <f t="shared" ref="D166:J166" si="29">$B$166*$C$166*B12*D149</f>
        <v>0</v>
      </c>
      <c r="E166" s="95">
        <f t="shared" si="29"/>
        <v>0</v>
      </c>
      <c r="F166" s="95">
        <f t="shared" si="29"/>
        <v>0</v>
      </c>
      <c r="G166" s="95">
        <f t="shared" si="29"/>
        <v>0</v>
      </c>
      <c r="H166" s="95">
        <f t="shared" si="29"/>
        <v>0</v>
      </c>
      <c r="I166" s="95">
        <f t="shared" si="29"/>
        <v>0</v>
      </c>
      <c r="J166" s="95">
        <f t="shared" si="29"/>
        <v>0</v>
      </c>
    </row>
    <row r="167" spans="1:10" x14ac:dyDescent="0.2">
      <c r="A167" s="93" t="s">
        <v>290</v>
      </c>
      <c r="B167" s="93" t="s">
        <v>355</v>
      </c>
      <c r="C167" s="239">
        <v>10</v>
      </c>
      <c r="D167" s="95">
        <f>B62*$C167*D$149</f>
        <v>0</v>
      </c>
      <c r="E167" s="95">
        <f t="shared" ref="E167:J167" si="30">C62*$C167*E$149</f>
        <v>0</v>
      </c>
      <c r="F167" s="95">
        <f t="shared" si="30"/>
        <v>0</v>
      </c>
      <c r="G167" s="95">
        <f t="shared" si="30"/>
        <v>0</v>
      </c>
      <c r="H167" s="95">
        <f t="shared" si="30"/>
        <v>0</v>
      </c>
      <c r="I167" s="95">
        <f t="shared" si="30"/>
        <v>0</v>
      </c>
      <c r="J167" s="95">
        <f t="shared" si="30"/>
        <v>0</v>
      </c>
    </row>
    <row r="168" spans="1:10" x14ac:dyDescent="0.2">
      <c r="A168" s="245" t="s">
        <v>291</v>
      </c>
      <c r="B168" s="245"/>
      <c r="C168" s="391">
        <v>2</v>
      </c>
      <c r="D168" s="95">
        <f>SUM(B141:B143)*$C$168*D$149</f>
        <v>0</v>
      </c>
      <c r="E168" s="95">
        <f t="shared" ref="E168:J168" si="31">SUM(C141:C143)*$C$168*E$149</f>
        <v>0</v>
      </c>
      <c r="F168" s="95">
        <f t="shared" si="31"/>
        <v>0</v>
      </c>
      <c r="G168" s="95">
        <f t="shared" si="31"/>
        <v>0</v>
      </c>
      <c r="H168" s="95">
        <f t="shared" si="31"/>
        <v>0</v>
      </c>
      <c r="I168" s="95">
        <f t="shared" si="31"/>
        <v>0</v>
      </c>
      <c r="J168" s="95">
        <f t="shared" si="31"/>
        <v>0</v>
      </c>
    </row>
    <row r="169" spans="1:10" x14ac:dyDescent="0.2">
      <c r="A169" s="93" t="s">
        <v>292</v>
      </c>
      <c r="B169" s="93"/>
      <c r="C169" s="239">
        <v>1</v>
      </c>
      <c r="D169" s="95">
        <f>SUM(B141:B143)*$C$169*D$149</f>
        <v>0</v>
      </c>
      <c r="E169" s="95">
        <f t="shared" ref="E169:J169" si="32">SUM(C141:C143)*$C$169*E$149</f>
        <v>0</v>
      </c>
      <c r="F169" s="95">
        <f t="shared" si="32"/>
        <v>0</v>
      </c>
      <c r="G169" s="95">
        <f t="shared" si="32"/>
        <v>0</v>
      </c>
      <c r="H169" s="95">
        <f t="shared" si="32"/>
        <v>0</v>
      </c>
      <c r="I169" s="95">
        <f t="shared" si="32"/>
        <v>0</v>
      </c>
      <c r="J169" s="95">
        <f t="shared" si="32"/>
        <v>0</v>
      </c>
    </row>
    <row r="170" spans="1:10" x14ac:dyDescent="0.2">
      <c r="A170" s="93"/>
      <c r="B170" s="93"/>
      <c r="C170" s="93"/>
      <c r="D170" s="93"/>
      <c r="E170" s="93"/>
      <c r="F170" s="93"/>
      <c r="G170" s="93"/>
      <c r="H170" s="93"/>
      <c r="I170" s="93"/>
      <c r="J170" s="93"/>
    </row>
    <row r="171" spans="1:10" x14ac:dyDescent="0.2">
      <c r="A171" s="93"/>
      <c r="B171" s="93"/>
      <c r="C171" s="93"/>
      <c r="D171" s="93"/>
      <c r="E171" s="93"/>
      <c r="F171" s="93"/>
      <c r="G171" s="93"/>
      <c r="H171" s="93"/>
      <c r="I171" s="93"/>
      <c r="J171" s="93"/>
    </row>
    <row r="172" spans="1:10" x14ac:dyDescent="0.2">
      <c r="A172" s="93"/>
      <c r="B172" s="93"/>
      <c r="C172" s="93"/>
      <c r="D172" s="93"/>
      <c r="E172" s="93"/>
      <c r="F172" s="93"/>
      <c r="G172" s="93"/>
      <c r="H172" s="93"/>
      <c r="I172" s="93"/>
      <c r="J172" s="93"/>
    </row>
    <row r="173" spans="1:10" x14ac:dyDescent="0.2">
      <c r="A173" s="93"/>
      <c r="B173" s="93"/>
      <c r="C173" s="93"/>
      <c r="D173" s="93"/>
      <c r="E173" s="93"/>
      <c r="F173" s="93"/>
      <c r="G173" s="93"/>
      <c r="H173" s="93"/>
      <c r="I173" s="93"/>
      <c r="J173" s="93"/>
    </row>
    <row r="174" spans="1:10" x14ac:dyDescent="0.2">
      <c r="A174" s="144" t="s">
        <v>334</v>
      </c>
      <c r="B174" s="95"/>
      <c r="C174" s="95"/>
      <c r="D174" s="95"/>
      <c r="E174" s="95">
        <f>'5.Closing Stock &amp; W Capital'!F9</f>
        <v>0</v>
      </c>
      <c r="F174" s="95">
        <f>'5.Closing Stock &amp; W Capital'!G9</f>
        <v>0</v>
      </c>
      <c r="G174" s="95">
        <f>'5.Closing Stock &amp; W Capital'!H9</f>
        <v>0</v>
      </c>
      <c r="H174" s="95">
        <f>'5.Closing Stock &amp; W Capital'!I9</f>
        <v>0</v>
      </c>
      <c r="I174" s="95">
        <f>'5.Closing Stock &amp; W Capital'!J9</f>
        <v>0</v>
      </c>
      <c r="J174" s="95">
        <f>'5.Closing Stock &amp; W Capital'!K9</f>
        <v>0</v>
      </c>
    </row>
    <row r="175" spans="1:10" x14ac:dyDescent="0.2">
      <c r="A175" s="144" t="s">
        <v>335</v>
      </c>
      <c r="B175" s="95"/>
      <c r="C175" s="95"/>
      <c r="D175" s="95">
        <f>'5.Closing Stock &amp; W Capital'!E18</f>
        <v>0</v>
      </c>
      <c r="E175" s="95">
        <f>'5.Closing Stock &amp; W Capital'!F18</f>
        <v>0</v>
      </c>
      <c r="F175" s="95">
        <f>'5.Closing Stock &amp; W Capital'!G18</f>
        <v>0</v>
      </c>
      <c r="G175" s="95">
        <f>'5.Closing Stock &amp; W Capital'!H18</f>
        <v>0</v>
      </c>
      <c r="H175" s="95">
        <f>'5.Closing Stock &amp; W Capital'!I18</f>
        <v>0</v>
      </c>
      <c r="I175" s="95">
        <f>'5.Closing Stock &amp; W Capital'!J18</f>
        <v>0</v>
      </c>
      <c r="J175" s="95">
        <f>'5.Closing Stock &amp; W Capital'!K18</f>
        <v>0</v>
      </c>
    </row>
    <row r="176" spans="1:10" x14ac:dyDescent="0.2">
      <c r="A176" s="95"/>
      <c r="B176" s="95"/>
      <c r="C176" s="95"/>
      <c r="D176" s="95"/>
      <c r="E176" s="95"/>
      <c r="F176" s="95"/>
      <c r="G176" s="95"/>
      <c r="H176" s="95"/>
      <c r="I176" s="95"/>
      <c r="J176" s="95"/>
    </row>
    <row r="177" spans="1:10" x14ac:dyDescent="0.2">
      <c r="A177" s="104" t="s">
        <v>312</v>
      </c>
      <c r="B177" s="95"/>
      <c r="C177" s="95"/>
      <c r="D177" s="104">
        <f t="shared" ref="D177:J177" si="33">SUM(D163:D174)-D175</f>
        <v>0</v>
      </c>
      <c r="E177" s="104">
        <f t="shared" si="33"/>
        <v>0</v>
      </c>
      <c r="F177" s="104">
        <f t="shared" si="33"/>
        <v>0</v>
      </c>
      <c r="G177" s="104">
        <f t="shared" si="33"/>
        <v>0</v>
      </c>
      <c r="H177" s="104">
        <f t="shared" si="33"/>
        <v>0</v>
      </c>
      <c r="I177" s="104">
        <f t="shared" si="33"/>
        <v>0</v>
      </c>
      <c r="J177" s="104">
        <f t="shared" si="33"/>
        <v>0</v>
      </c>
    </row>
    <row r="179" spans="1:10" x14ac:dyDescent="0.2">
      <c r="A179" s="244" t="s">
        <v>305</v>
      </c>
      <c r="B179" s="244"/>
      <c r="C179" s="244"/>
      <c r="D179" s="104"/>
      <c r="E179" s="104"/>
      <c r="F179" s="104"/>
      <c r="G179" s="104"/>
      <c r="H179" s="104"/>
      <c r="I179" s="104"/>
      <c r="J179" s="104"/>
    </row>
    <row r="180" spans="1:10" x14ac:dyDescent="0.2">
      <c r="A180" s="93" t="s">
        <v>185</v>
      </c>
      <c r="B180" s="239">
        <v>1</v>
      </c>
      <c r="C180" s="388"/>
      <c r="D180" s="95">
        <f t="shared" ref="D180:J180" si="34">$B$180*$C$180*12*D149</f>
        <v>0</v>
      </c>
      <c r="E180" s="95">
        <f t="shared" si="34"/>
        <v>0</v>
      </c>
      <c r="F180" s="95">
        <f t="shared" si="34"/>
        <v>0</v>
      </c>
      <c r="G180" s="95">
        <f t="shared" si="34"/>
        <v>0</v>
      </c>
      <c r="H180" s="95">
        <f t="shared" si="34"/>
        <v>0</v>
      </c>
      <c r="I180" s="95">
        <f t="shared" si="34"/>
        <v>0</v>
      </c>
      <c r="J180" s="95">
        <f t="shared" si="34"/>
        <v>0</v>
      </c>
    </row>
    <row r="181" spans="1:10" x14ac:dyDescent="0.2">
      <c r="A181" s="93" t="s">
        <v>190</v>
      </c>
      <c r="B181" s="239">
        <v>2</v>
      </c>
      <c r="C181" s="388"/>
      <c r="D181" s="95">
        <f t="shared" ref="D181:J181" si="35">$B$181*$C$181*12*D149</f>
        <v>0</v>
      </c>
      <c r="E181" s="95">
        <f t="shared" si="35"/>
        <v>0</v>
      </c>
      <c r="F181" s="95">
        <f t="shared" si="35"/>
        <v>0</v>
      </c>
      <c r="G181" s="95">
        <f t="shared" si="35"/>
        <v>0</v>
      </c>
      <c r="H181" s="95">
        <f t="shared" si="35"/>
        <v>0</v>
      </c>
      <c r="I181" s="95">
        <f t="shared" si="35"/>
        <v>0</v>
      </c>
      <c r="J181" s="95">
        <f t="shared" si="35"/>
        <v>0</v>
      </c>
    </row>
    <row r="182" spans="1:10" x14ac:dyDescent="0.2">
      <c r="A182" s="93"/>
      <c r="B182" s="239"/>
      <c r="C182" s="388"/>
      <c r="D182" s="95"/>
      <c r="E182" s="95"/>
      <c r="F182" s="95"/>
      <c r="G182" s="95"/>
      <c r="H182" s="95"/>
      <c r="I182" s="95"/>
      <c r="J182" s="95"/>
    </row>
    <row r="183" spans="1:10" x14ac:dyDescent="0.2">
      <c r="A183" s="93"/>
      <c r="B183" s="239"/>
      <c r="C183" s="388"/>
      <c r="D183" s="95"/>
      <c r="E183" s="95"/>
      <c r="F183" s="95"/>
      <c r="G183" s="95"/>
      <c r="H183" s="95"/>
      <c r="I183" s="95"/>
      <c r="J183" s="95"/>
    </row>
    <row r="184" spans="1:10" x14ac:dyDescent="0.2">
      <c r="A184" s="93"/>
      <c r="B184" s="239"/>
      <c r="C184" s="388"/>
      <c r="D184" s="95"/>
      <c r="E184" s="95"/>
      <c r="F184" s="95"/>
      <c r="G184" s="95"/>
      <c r="H184" s="95"/>
      <c r="I184" s="95"/>
      <c r="J184" s="95"/>
    </row>
    <row r="185" spans="1:10" x14ac:dyDescent="0.2">
      <c r="A185" s="98" t="s">
        <v>305</v>
      </c>
      <c r="B185" s="98"/>
      <c r="C185" s="98"/>
      <c r="D185" s="104">
        <f>SUM(D180:D184)</f>
        <v>0</v>
      </c>
      <c r="E185" s="104">
        <f t="shared" ref="E185:J185" si="36">SUM(E180:E184)</f>
        <v>0</v>
      </c>
      <c r="F185" s="104">
        <f t="shared" si="36"/>
        <v>0</v>
      </c>
      <c r="G185" s="104">
        <f t="shared" si="36"/>
        <v>0</v>
      </c>
      <c r="H185" s="104">
        <f t="shared" si="36"/>
        <v>0</v>
      </c>
      <c r="I185" s="104">
        <f t="shared" si="36"/>
        <v>0</v>
      </c>
      <c r="J185" s="104">
        <f t="shared" si="36"/>
        <v>0</v>
      </c>
    </row>
    <row r="186" spans="1:10" x14ac:dyDescent="0.2">
      <c r="A186" s="244" t="s">
        <v>293</v>
      </c>
      <c r="B186" s="244"/>
      <c r="C186" s="244"/>
      <c r="D186" s="104">
        <f>D177+D185</f>
        <v>0</v>
      </c>
      <c r="E186" s="104">
        <f t="shared" ref="E186:J186" si="37">E177+E185</f>
        <v>0</v>
      </c>
      <c r="F186" s="104">
        <f t="shared" si="37"/>
        <v>0</v>
      </c>
      <c r="G186" s="104">
        <f t="shared" si="37"/>
        <v>0</v>
      </c>
      <c r="H186" s="104">
        <f t="shared" si="37"/>
        <v>0</v>
      </c>
      <c r="I186" s="104">
        <f t="shared" si="37"/>
        <v>0</v>
      </c>
      <c r="J186" s="104">
        <f t="shared" si="37"/>
        <v>0</v>
      </c>
    </row>
    <row r="187" spans="1:10" x14ac:dyDescent="0.2">
      <c r="A187" s="93"/>
      <c r="B187" s="93"/>
      <c r="C187" s="93"/>
      <c r="D187" s="95"/>
      <c r="E187" s="95"/>
      <c r="F187" s="95"/>
      <c r="G187" s="95"/>
      <c r="H187" s="95"/>
      <c r="I187" s="95"/>
      <c r="J187" s="95"/>
    </row>
    <row r="188" spans="1:10" x14ac:dyDescent="0.2">
      <c r="A188" s="98" t="s">
        <v>7</v>
      </c>
      <c r="B188" s="98"/>
      <c r="C188" s="98"/>
      <c r="D188" s="104">
        <f t="shared" ref="D188:J188" si="38">D159-D186</f>
        <v>0</v>
      </c>
      <c r="E188" s="104">
        <f t="shared" si="38"/>
        <v>0</v>
      </c>
      <c r="F188" s="104">
        <f t="shared" si="38"/>
        <v>0</v>
      </c>
      <c r="G188" s="104">
        <f t="shared" si="38"/>
        <v>0</v>
      </c>
      <c r="H188" s="104">
        <f t="shared" si="38"/>
        <v>0</v>
      </c>
      <c r="I188" s="104">
        <f t="shared" si="38"/>
        <v>0</v>
      </c>
      <c r="J188" s="104">
        <f t="shared" si="38"/>
        <v>0</v>
      </c>
    </row>
    <row r="189" spans="1:10" x14ac:dyDescent="0.2">
      <c r="A189" s="151"/>
      <c r="B189" s="151"/>
      <c r="C189" s="151"/>
    </row>
    <row r="192" spans="1:10" x14ac:dyDescent="0.2">
      <c r="A192" s="429" t="s">
        <v>410</v>
      </c>
      <c r="B192" s="429"/>
      <c r="C192" s="429"/>
      <c r="D192" s="429"/>
      <c r="E192" s="429"/>
      <c r="F192" s="429"/>
      <c r="G192" s="429"/>
      <c r="H192" s="429"/>
      <c r="I192" s="429"/>
      <c r="J192" s="429"/>
    </row>
    <row r="194" spans="1:5" x14ac:dyDescent="0.2">
      <c r="A194" s="92" t="s">
        <v>527</v>
      </c>
    </row>
    <row r="195" spans="1:5" x14ac:dyDescent="0.2">
      <c r="A195" s="92">
        <v>1</v>
      </c>
      <c r="B195" s="92" t="s">
        <v>540</v>
      </c>
    </row>
    <row r="196" spans="1:5" x14ac:dyDescent="0.2">
      <c r="A196" s="92">
        <v>2</v>
      </c>
      <c r="B196" s="92" t="s">
        <v>541</v>
      </c>
      <c r="C196" s="146"/>
      <c r="D196" s="146"/>
      <c r="E196" s="146"/>
    </row>
    <row r="197" spans="1:5" x14ac:dyDescent="0.2">
      <c r="A197" s="92">
        <v>3</v>
      </c>
      <c r="B197" s="92" t="s">
        <v>592</v>
      </c>
    </row>
    <row r="199" spans="1:5" x14ac:dyDescent="0.2">
      <c r="A199" s="92" t="s">
        <v>685</v>
      </c>
      <c r="B199" s="92" t="s">
        <v>687</v>
      </c>
    </row>
    <row r="200" spans="1:5" x14ac:dyDescent="0.2">
      <c r="B200" s="92" t="s">
        <v>700</v>
      </c>
    </row>
  </sheetData>
  <mergeCells count="4">
    <mergeCell ref="A3:H3"/>
    <mergeCell ref="A147:J147"/>
    <mergeCell ref="A192:J192"/>
    <mergeCell ref="A4:H4"/>
  </mergeCells>
  <pageMargins left="0.7" right="0.7" top="0.75" bottom="0.75" header="0.3" footer="0.3"/>
  <pageSetup paperSize="9" scale="53" orientation="portrait" r:id="rId1"/>
  <colBreaks count="1" manualBreakCount="1">
    <brk id="10" min="2" max="5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33"/>
  <sheetViews>
    <sheetView view="pageBreakPreview" zoomScaleNormal="100" zoomScaleSheetLayoutView="100" workbookViewId="0">
      <selection activeCell="D5" sqref="D5"/>
    </sheetView>
  </sheetViews>
  <sheetFormatPr defaultColWidth="8.7421875" defaultRowHeight="15" x14ac:dyDescent="0.2"/>
  <cols>
    <col min="1" max="1" width="8.7421875" style="92"/>
    <col min="2" max="2" width="7.53125" style="92" bestFit="1" customWidth="1"/>
    <col min="3" max="3" width="26.23046875" style="92" bestFit="1" customWidth="1"/>
    <col min="4" max="4" width="14.9296875" style="92" customWidth="1"/>
    <col min="5" max="5" width="16.0078125" style="92" customWidth="1"/>
    <col min="6" max="6" width="23.9453125" style="92" customWidth="1"/>
    <col min="7" max="7" width="29.7265625" style="92" customWidth="1"/>
    <col min="8" max="8" width="4.9765625" style="92" hidden="1" customWidth="1"/>
    <col min="9" max="9" width="11.43359375" style="92" bestFit="1" customWidth="1"/>
    <col min="10" max="10" width="8.7421875" style="92"/>
    <col min="11" max="11" width="17.890625" style="92" customWidth="1"/>
    <col min="12" max="13" width="10.35546875" style="92" bestFit="1" customWidth="1"/>
    <col min="14" max="14" width="16.0078125" style="92" customWidth="1"/>
    <col min="15" max="16384" width="8.7421875" style="92"/>
  </cols>
  <sheetData>
    <row r="1" spans="1:14" x14ac:dyDescent="0.2">
      <c r="J1" s="429"/>
      <c r="K1" s="429"/>
      <c r="L1" s="429"/>
      <c r="M1" s="429"/>
      <c r="N1" s="429"/>
    </row>
    <row r="2" spans="1:14" ht="18.75" x14ac:dyDescent="0.25">
      <c r="B2" s="427" t="s">
        <v>544</v>
      </c>
      <c r="C2" s="427"/>
      <c r="D2" s="427"/>
      <c r="E2" s="427"/>
      <c r="F2" s="427"/>
      <c r="J2" s="427"/>
      <c r="K2" s="427"/>
      <c r="L2" s="427"/>
      <c r="M2" s="427"/>
      <c r="N2" s="427"/>
    </row>
    <row r="4" spans="1:14" x14ac:dyDescent="0.2">
      <c r="B4" s="203" t="s">
        <v>145</v>
      </c>
      <c r="C4" s="203" t="s">
        <v>127</v>
      </c>
      <c r="D4" s="203" t="s">
        <v>157</v>
      </c>
      <c r="E4" s="204" t="s">
        <v>451</v>
      </c>
      <c r="F4" s="204" t="s">
        <v>452</v>
      </c>
      <c r="J4" s="203"/>
      <c r="K4" s="203"/>
      <c r="L4" s="203"/>
      <c r="M4" s="203"/>
      <c r="N4" s="203"/>
    </row>
    <row r="5" spans="1:14" x14ac:dyDescent="0.2">
      <c r="B5" s="205">
        <v>1</v>
      </c>
      <c r="C5" s="206" t="str">
        <f>'2.Capex Details'!B2</f>
        <v>Land and Building</v>
      </c>
      <c r="D5" s="207">
        <f>'2.Capex Details'!G13</f>
        <v>17000795.82</v>
      </c>
      <c r="E5" s="208">
        <v>0.6</v>
      </c>
      <c r="F5" s="209">
        <f>D5*E5</f>
        <v>10200477.492000001</v>
      </c>
      <c r="J5" s="205"/>
      <c r="K5" s="206"/>
      <c r="L5" s="207"/>
      <c r="M5" s="208"/>
      <c r="N5" s="209"/>
    </row>
    <row r="6" spans="1:14" ht="17.45" customHeight="1" x14ac:dyDescent="0.2">
      <c r="B6" s="205">
        <v>2</v>
      </c>
      <c r="C6" s="206" t="str">
        <f>'2.Capex Details'!B18</f>
        <v>Machinery and Equipment</v>
      </c>
      <c r="D6" s="207">
        <f>'2.Capex Details'!G103</f>
        <v>11701001</v>
      </c>
      <c r="E6" s="208">
        <v>0.6</v>
      </c>
      <c r="F6" s="209">
        <f t="shared" ref="F6:F10" si="0">D6*E6</f>
        <v>7020600.5999999996</v>
      </c>
      <c r="J6" s="205"/>
      <c r="K6" s="206"/>
      <c r="L6" s="207"/>
      <c r="M6" s="208"/>
      <c r="N6" s="209"/>
    </row>
    <row r="7" spans="1:14" x14ac:dyDescent="0.2">
      <c r="B7" s="205">
        <v>3</v>
      </c>
      <c r="C7" s="206" t="str">
        <f>'2.Capex Details'!B109</f>
        <v>Furniture and Fixture</v>
      </c>
      <c r="D7" s="207">
        <f>'2.Capex Details'!F122</f>
        <v>257240</v>
      </c>
      <c r="E7" s="208">
        <v>0.6</v>
      </c>
      <c r="F7" s="209">
        <f t="shared" si="0"/>
        <v>154344</v>
      </c>
      <c r="J7" s="205"/>
      <c r="K7" s="206"/>
      <c r="L7" s="207"/>
      <c r="M7" s="208"/>
      <c r="N7" s="209"/>
    </row>
    <row r="8" spans="1:14" x14ac:dyDescent="0.2">
      <c r="B8" s="205">
        <v>4</v>
      </c>
      <c r="C8" s="206" t="str">
        <f>'2.Capex Details'!B127</f>
        <v>IT &amp; It Infrastracture</v>
      </c>
      <c r="D8" s="207">
        <f>'2.Capex Details'!F141</f>
        <v>522346.00240000006</v>
      </c>
      <c r="E8" s="208">
        <v>0.6</v>
      </c>
      <c r="F8" s="209">
        <f t="shared" si="0"/>
        <v>313407.60144</v>
      </c>
      <c r="J8" s="205"/>
      <c r="K8" s="206"/>
      <c r="L8" s="207"/>
      <c r="M8" s="208"/>
      <c r="N8" s="209"/>
    </row>
    <row r="9" spans="1:14" x14ac:dyDescent="0.2">
      <c r="B9" s="205">
        <v>5</v>
      </c>
      <c r="C9" s="206" t="str">
        <f>'2.Capex Details'!B146</f>
        <v>Vehicle</v>
      </c>
      <c r="D9" s="207">
        <f>'2.Capex Details'!F157</f>
        <v>0</v>
      </c>
      <c r="E9" s="208">
        <v>0.6</v>
      </c>
      <c r="F9" s="209">
        <f t="shared" si="0"/>
        <v>0</v>
      </c>
      <c r="J9" s="205"/>
      <c r="K9" s="206"/>
      <c r="L9" s="207"/>
      <c r="M9" s="208"/>
      <c r="N9" s="209"/>
    </row>
    <row r="10" spans="1:14" x14ac:dyDescent="0.2">
      <c r="B10" s="205">
        <v>6</v>
      </c>
      <c r="C10" s="206" t="str">
        <f>'2.Capex Details'!B161</f>
        <v>Preliminary Expenses</v>
      </c>
      <c r="D10" s="207">
        <f>'2.Capex Details'!D170</f>
        <v>411550</v>
      </c>
      <c r="E10" s="208">
        <v>0.6</v>
      </c>
      <c r="F10" s="209">
        <f t="shared" si="0"/>
        <v>246930</v>
      </c>
      <c r="G10" s="146"/>
      <c r="J10" s="205"/>
      <c r="K10" s="206"/>
      <c r="L10" s="207"/>
      <c r="M10" s="208"/>
      <c r="N10" s="209"/>
    </row>
    <row r="11" spans="1:14" x14ac:dyDescent="0.2">
      <c r="B11" s="205">
        <v>7</v>
      </c>
      <c r="C11" s="206" t="s">
        <v>156</v>
      </c>
      <c r="D11" s="207">
        <f>'5.Closing Stock &amp; W Capital'!E57</f>
        <v>860551.11165410955</v>
      </c>
      <c r="E11" s="210"/>
      <c r="F11" s="210"/>
      <c r="J11" s="205"/>
      <c r="K11" s="206"/>
      <c r="L11" s="207"/>
      <c r="M11" s="210"/>
      <c r="N11" s="210"/>
    </row>
    <row r="12" spans="1:14" x14ac:dyDescent="0.2">
      <c r="B12" s="428" t="s">
        <v>1</v>
      </c>
      <c r="C12" s="428"/>
      <c r="D12" s="211">
        <f>SUM(D5:D11)</f>
        <v>30753483.93405411</v>
      </c>
      <c r="E12" s="210"/>
      <c r="F12" s="211">
        <f>SUM(F5:F11)</f>
        <v>17935759.693440001</v>
      </c>
      <c r="G12" s="147"/>
      <c r="J12" s="428"/>
      <c r="K12" s="428"/>
      <c r="L12" s="211"/>
      <c r="M12" s="210"/>
      <c r="N12" s="211"/>
    </row>
    <row r="13" spans="1:14" x14ac:dyDescent="0.2">
      <c r="D13" s="141"/>
      <c r="I13" s="147"/>
      <c r="L13" s="141"/>
      <c r="M13" s="141"/>
    </row>
    <row r="14" spans="1:14" ht="25.5" customHeight="1" x14ac:dyDescent="0.2">
      <c r="A14" s="430" t="s">
        <v>403</v>
      </c>
      <c r="B14" s="430"/>
      <c r="C14" s="430"/>
      <c r="D14" s="430"/>
      <c r="E14" s="430"/>
      <c r="F14" s="430"/>
      <c r="H14" s="212"/>
      <c r="I14" s="430"/>
      <c r="J14" s="430"/>
      <c r="K14" s="430"/>
      <c r="L14" s="430"/>
      <c r="M14" s="430"/>
      <c r="N14" s="430"/>
    </row>
    <row r="16" spans="1:14" ht="18.75" x14ac:dyDescent="0.25">
      <c r="B16" s="427" t="s">
        <v>545</v>
      </c>
      <c r="C16" s="427"/>
      <c r="D16" s="427"/>
      <c r="E16" s="427"/>
      <c r="F16" s="427"/>
      <c r="J16" s="427"/>
      <c r="K16" s="427"/>
      <c r="L16" s="427"/>
      <c r="M16" s="427"/>
      <c r="N16" s="427"/>
    </row>
    <row r="18" spans="2:14" x14ac:dyDescent="0.2">
      <c r="B18" s="213" t="s">
        <v>145</v>
      </c>
      <c r="C18" s="203" t="s">
        <v>127</v>
      </c>
      <c r="D18" s="203" t="s">
        <v>632</v>
      </c>
      <c r="E18" s="203" t="s">
        <v>157</v>
      </c>
      <c r="J18" s="213"/>
      <c r="K18" s="203"/>
      <c r="L18" s="203"/>
      <c r="M18" s="203"/>
    </row>
    <row r="19" spans="2:14" x14ac:dyDescent="0.2">
      <c r="B19" s="205">
        <v>1</v>
      </c>
      <c r="C19" s="206" t="s">
        <v>324</v>
      </c>
      <c r="D19" s="214"/>
      <c r="E19" s="215">
        <f>F12</f>
        <v>17935759.693440001</v>
      </c>
      <c r="J19" s="205"/>
      <c r="K19" s="206"/>
      <c r="L19" s="214"/>
      <c r="M19" s="215"/>
    </row>
    <row r="20" spans="2:14" ht="34.5" x14ac:dyDescent="0.2">
      <c r="B20" s="205">
        <v>2</v>
      </c>
      <c r="C20" s="206" t="s">
        <v>699</v>
      </c>
      <c r="D20" s="216"/>
      <c r="E20" s="217">
        <f>D12-E19-E21</f>
        <v>8967879.8467199989</v>
      </c>
      <c r="G20" s="146"/>
      <c r="J20" s="205"/>
      <c r="K20" s="206"/>
      <c r="L20" s="218"/>
      <c r="M20" s="217"/>
    </row>
    <row r="21" spans="2:14" ht="23.25" x14ac:dyDescent="0.2">
      <c r="B21" s="205">
        <v>3</v>
      </c>
      <c r="C21" s="206" t="s">
        <v>698</v>
      </c>
      <c r="D21" s="218">
        <v>0.1</v>
      </c>
      <c r="E21" s="217">
        <f>(SUM(D5:D10)*D21)+D11</f>
        <v>3849844.3938941099</v>
      </c>
      <c r="J21" s="205"/>
      <c r="K21" s="206"/>
      <c r="L21" s="218"/>
      <c r="M21" s="217"/>
    </row>
    <row r="22" spans="2:14" x14ac:dyDescent="0.2">
      <c r="B22" s="428" t="s">
        <v>1</v>
      </c>
      <c r="C22" s="428"/>
      <c r="D22" s="219"/>
      <c r="E22" s="219">
        <f>E19+E20+E21</f>
        <v>30753483.93405411</v>
      </c>
      <c r="J22" s="428"/>
      <c r="K22" s="428"/>
      <c r="L22" s="219"/>
      <c r="M22" s="219"/>
    </row>
    <row r="24" spans="2:14" x14ac:dyDescent="0.2">
      <c r="B24" s="429" t="s">
        <v>404</v>
      </c>
      <c r="C24" s="429"/>
      <c r="D24" s="429"/>
      <c r="E24" s="429"/>
      <c r="F24" s="429"/>
      <c r="J24" s="429"/>
      <c r="K24" s="429"/>
      <c r="L24" s="429"/>
      <c r="M24" s="429"/>
      <c r="N24" s="429"/>
    </row>
    <row r="26" spans="2:14" ht="18.75" x14ac:dyDescent="0.25">
      <c r="B26" s="427" t="s">
        <v>546</v>
      </c>
      <c r="C26" s="427"/>
      <c r="D26" s="427"/>
      <c r="E26" s="427"/>
      <c r="F26" s="427"/>
      <c r="J26" s="427"/>
      <c r="K26" s="427"/>
      <c r="L26" s="427"/>
      <c r="M26" s="427"/>
      <c r="N26" s="427"/>
    </row>
    <row r="27" spans="2:14" ht="30" customHeight="1" x14ac:dyDescent="0.2">
      <c r="B27" s="220" t="s">
        <v>145</v>
      </c>
      <c r="C27" s="221" t="s">
        <v>594</v>
      </c>
      <c r="D27" s="221" t="s">
        <v>595</v>
      </c>
      <c r="E27" s="220" t="s">
        <v>596</v>
      </c>
      <c r="F27" s="220" t="s">
        <v>597</v>
      </c>
      <c r="J27" s="220"/>
      <c r="K27" s="221"/>
      <c r="L27" s="221"/>
      <c r="M27" s="220"/>
      <c r="N27" s="220"/>
    </row>
    <row r="28" spans="2:14" x14ac:dyDescent="0.2">
      <c r="B28" s="222">
        <v>1</v>
      </c>
      <c r="C28" s="206" t="s">
        <v>369</v>
      </c>
      <c r="D28" s="223">
        <f>'9.1 Financial indiacators'!C49</f>
        <v>0.41380057061054665</v>
      </c>
      <c r="E28" s="222" t="s">
        <v>370</v>
      </c>
      <c r="F28" s="224" t="s">
        <v>702</v>
      </c>
      <c r="G28" s="225"/>
      <c r="J28" s="222"/>
      <c r="K28" s="206"/>
      <c r="L28" s="223"/>
      <c r="M28" s="222"/>
      <c r="N28" s="224"/>
    </row>
    <row r="29" spans="2:14" ht="23.25" x14ac:dyDescent="0.2">
      <c r="B29" s="222">
        <v>2</v>
      </c>
      <c r="C29" s="206" t="s">
        <v>371</v>
      </c>
      <c r="D29" s="226">
        <f>'9.1 Financial indiacators'!C85</f>
        <v>0.1794105967528952</v>
      </c>
      <c r="E29" s="222" t="s">
        <v>370</v>
      </c>
      <c r="F29" s="224" t="s">
        <v>675</v>
      </c>
      <c r="G29" s="227"/>
      <c r="J29" s="222"/>
      <c r="K29" s="206"/>
      <c r="L29" s="226"/>
      <c r="M29" s="222"/>
      <c r="N29" s="224"/>
    </row>
    <row r="30" spans="2:14" ht="23.25" x14ac:dyDescent="0.2">
      <c r="B30" s="222">
        <v>3</v>
      </c>
      <c r="C30" s="206" t="s">
        <v>372</v>
      </c>
      <c r="D30" s="223">
        <f>'9.1 Financial indiacators'!C16</f>
        <v>0.10768087140037697</v>
      </c>
      <c r="E30" s="222" t="s">
        <v>370</v>
      </c>
      <c r="F30" s="224" t="s">
        <v>865</v>
      </c>
      <c r="G30" s="227"/>
      <c r="J30" s="222"/>
      <c r="K30" s="206"/>
      <c r="L30" s="223"/>
      <c r="M30" s="222"/>
      <c r="N30" s="224"/>
    </row>
    <row r="31" spans="2:14" ht="45.75" x14ac:dyDescent="0.2">
      <c r="B31" s="222">
        <v>4</v>
      </c>
      <c r="C31" s="206" t="s">
        <v>373</v>
      </c>
      <c r="D31" s="228">
        <f>'9.1 Financial indiacators'!C73</f>
        <v>929939.72628308833</v>
      </c>
      <c r="E31" s="222" t="s">
        <v>676</v>
      </c>
      <c r="F31" s="224" t="s">
        <v>598</v>
      </c>
      <c r="G31" s="227"/>
      <c r="J31" s="222"/>
      <c r="K31" s="206"/>
      <c r="L31" s="228"/>
      <c r="M31" s="222"/>
      <c r="N31" s="224"/>
    </row>
    <row r="32" spans="2:14" ht="23.25" x14ac:dyDescent="0.2">
      <c r="B32" s="222">
        <v>5</v>
      </c>
      <c r="C32" s="206" t="s">
        <v>374</v>
      </c>
      <c r="D32" s="229">
        <f>'9.1 Financial indiacators'!D101</f>
        <v>5.2416178250869478</v>
      </c>
      <c r="E32" s="222" t="s">
        <v>370</v>
      </c>
      <c r="F32" s="224" t="s">
        <v>704</v>
      </c>
      <c r="G32" s="227">
        <f>12*0.24</f>
        <v>2.88</v>
      </c>
      <c r="J32" s="222"/>
      <c r="K32" s="206"/>
      <c r="L32" s="229"/>
      <c r="M32" s="222"/>
      <c r="N32" s="224"/>
    </row>
    <row r="33" spans="2:14" ht="25.5" x14ac:dyDescent="0.2">
      <c r="B33" s="222">
        <v>6</v>
      </c>
      <c r="C33" s="70" t="s">
        <v>375</v>
      </c>
      <c r="D33" s="229">
        <f>'9.1 Financial indiacators'!C119</f>
        <v>3.2368715676392115</v>
      </c>
      <c r="E33" s="71" t="s">
        <v>370</v>
      </c>
      <c r="F33" s="224" t="s">
        <v>599</v>
      </c>
      <c r="G33" s="227"/>
      <c r="J33" s="222"/>
      <c r="K33" s="70"/>
      <c r="L33" s="229"/>
      <c r="M33" s="71"/>
      <c r="N33" s="224"/>
    </row>
  </sheetData>
  <mergeCells count="15">
    <mergeCell ref="J22:K22"/>
    <mergeCell ref="J24:N24"/>
    <mergeCell ref="J26:N26"/>
    <mergeCell ref="J1:N1"/>
    <mergeCell ref="J2:N2"/>
    <mergeCell ref="J12:K12"/>
    <mergeCell ref="I14:N14"/>
    <mergeCell ref="J16:N16"/>
    <mergeCell ref="B26:F26"/>
    <mergeCell ref="B12:C12"/>
    <mergeCell ref="B22:C22"/>
    <mergeCell ref="B2:F2"/>
    <mergeCell ref="B16:F16"/>
    <mergeCell ref="B24:F24"/>
    <mergeCell ref="A14:F14"/>
  </mergeCells>
  <conditionalFormatting sqref="D23">
    <cfRule type="cellIs" dxfId="4" priority="3" operator="greaterThan">
      <formula>0</formula>
    </cfRule>
  </conditionalFormatting>
  <conditionalFormatting sqref="L23">
    <cfRule type="cellIs" dxfId="3" priority="1" operator="greaterThan">
      <formula>0</formula>
    </cfRule>
  </conditionalFormatting>
  <pageMargins left="0.7" right="0.7" top="0.75" bottom="0.75" header="0.3" footer="0.3"/>
  <pageSetup scale="9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2:I282"/>
  <sheetViews>
    <sheetView workbookViewId="0"/>
  </sheetViews>
  <sheetFormatPr defaultRowHeight="15" x14ac:dyDescent="0.2"/>
  <cols>
    <col min="1" max="1" width="39.4140625" bestFit="1" customWidth="1"/>
    <col min="2" max="2" width="16.6796875" bestFit="1" customWidth="1"/>
    <col min="3" max="3" width="15.73828125" bestFit="1" customWidth="1"/>
    <col min="4" max="4" width="15.06640625" bestFit="1" customWidth="1"/>
    <col min="5" max="5" width="17.890625" bestFit="1" customWidth="1"/>
    <col min="6" max="8" width="15.06640625" bestFit="1" customWidth="1"/>
    <col min="9" max="9" width="11.296875" bestFit="1" customWidth="1"/>
  </cols>
  <sheetData>
    <row r="2" spans="1:8" ht="18" x14ac:dyDescent="0.2">
      <c r="A2" s="496" t="s">
        <v>553</v>
      </c>
      <c r="B2" s="496"/>
      <c r="C2" s="496"/>
      <c r="D2" s="496"/>
      <c r="E2" s="496"/>
      <c r="F2" s="496"/>
      <c r="G2" s="496"/>
      <c r="H2" s="496"/>
    </row>
    <row r="4" spans="1:8" x14ac:dyDescent="0.2">
      <c r="B4" s="1"/>
      <c r="C4" s="1"/>
      <c r="D4" s="1"/>
      <c r="E4" s="1"/>
      <c r="F4" s="1"/>
    </row>
    <row r="5" spans="1:8" x14ac:dyDescent="0.2">
      <c r="A5" s="52" t="s">
        <v>0</v>
      </c>
      <c r="B5" s="51" t="s">
        <v>2</v>
      </c>
      <c r="C5" s="51" t="s">
        <v>3</v>
      </c>
      <c r="D5" s="51" t="s">
        <v>4</v>
      </c>
      <c r="E5" s="51" t="s">
        <v>5</v>
      </c>
      <c r="F5" s="51" t="s">
        <v>6</v>
      </c>
      <c r="G5" s="51" t="s">
        <v>168</v>
      </c>
      <c r="H5" s="51" t="s">
        <v>167</v>
      </c>
    </row>
    <row r="6" spans="1:8" x14ac:dyDescent="0.2">
      <c r="A6" s="35" t="s">
        <v>126</v>
      </c>
      <c r="B6" s="33"/>
      <c r="C6" s="33"/>
      <c r="D6" s="33"/>
      <c r="E6" s="33"/>
      <c r="F6" s="33"/>
      <c r="G6" s="33"/>
      <c r="H6" s="33"/>
    </row>
    <row r="7" spans="1:8" x14ac:dyDescent="0.2">
      <c r="A7" s="33"/>
      <c r="B7" s="33"/>
      <c r="C7" s="33"/>
      <c r="D7" s="33"/>
      <c r="E7" s="33"/>
      <c r="F7" s="33"/>
      <c r="G7" s="33"/>
      <c r="H7" s="33"/>
    </row>
    <row r="8" spans="1:8" x14ac:dyDescent="0.2">
      <c r="A8" s="33" t="s">
        <v>498</v>
      </c>
      <c r="B8" s="34">
        <f>'12.Facility 1 - Trading'!D191</f>
        <v>41542200</v>
      </c>
      <c r="C8" s="34">
        <f>'12.Facility 1 - Trading'!E191</f>
        <v>48871431</v>
      </c>
      <c r="D8" s="34">
        <f>'12.Facility 1 - Trading'!F191</f>
        <v>55988500.050000012</v>
      </c>
      <c r="E8" s="34">
        <f>'12.Facility 1 - Trading'!G191</f>
        <v>63695097.427500024</v>
      </c>
      <c r="F8" s="34">
        <f>'12.Facility 1 - Trading'!H191</f>
        <v>72032383.292625025</v>
      </c>
      <c r="G8" s="34">
        <f>'12.Facility 1 - Trading'!I191</f>
        <v>81044160.000693798</v>
      </c>
      <c r="H8" s="34">
        <f>'12.Facility 1 - Trading'!J191</f>
        <v>90777033.421337873</v>
      </c>
    </row>
    <row r="9" spans="1:8" x14ac:dyDescent="0.2">
      <c r="A9" s="33" t="s">
        <v>499</v>
      </c>
      <c r="B9" s="34">
        <f>'13.Facility 2 Grain Processing'!D150</f>
        <v>0</v>
      </c>
      <c r="C9" s="34">
        <f>'13.Facility 2 Grain Processing'!E150</f>
        <v>0</v>
      </c>
      <c r="D9" s="34">
        <f>'13.Facility 2 Grain Processing'!F150</f>
        <v>0</v>
      </c>
      <c r="E9" s="34">
        <f>'13.Facility 2 Grain Processing'!G150</f>
        <v>0</v>
      </c>
      <c r="F9" s="34">
        <f>'13.Facility 2 Grain Processing'!H150</f>
        <v>0</v>
      </c>
      <c r="G9" s="34">
        <f>'13.Facility 2 Grain Processing'!I150</f>
        <v>0</v>
      </c>
      <c r="H9" s="34">
        <f>'13.Facility 2 Grain Processing'!J150</f>
        <v>0</v>
      </c>
    </row>
    <row r="10" spans="1:8" x14ac:dyDescent="0.2">
      <c r="A10" s="33" t="s">
        <v>500</v>
      </c>
      <c r="B10" s="34">
        <f>'14. Facility 3 Warehouse'!D23</f>
        <v>0</v>
      </c>
      <c r="C10" s="34">
        <f>'14. Facility 3 Warehouse'!E23</f>
        <v>0</v>
      </c>
      <c r="D10" s="34">
        <f>'14. Facility 3 Warehouse'!F23</f>
        <v>0</v>
      </c>
      <c r="E10" s="34">
        <f>'14. Facility 3 Warehouse'!G23</f>
        <v>0</v>
      </c>
      <c r="F10" s="34">
        <f>'14. Facility 3 Warehouse'!H23</f>
        <v>0</v>
      </c>
      <c r="G10" s="34">
        <f>'14. Facility 3 Warehouse'!I23</f>
        <v>0</v>
      </c>
      <c r="H10" s="34">
        <f>'14. Facility 3 Warehouse'!J23</f>
        <v>0</v>
      </c>
    </row>
    <row r="11" spans="1:8" x14ac:dyDescent="0.2">
      <c r="A11" s="33" t="s">
        <v>501</v>
      </c>
      <c r="B11" s="34">
        <f>'15. Facility 4 Custom Hiring'!E37</f>
        <v>0</v>
      </c>
      <c r="C11" s="34">
        <f>'15. Facility 4 Custom Hiring'!F37</f>
        <v>0</v>
      </c>
      <c r="D11" s="34">
        <f>'15. Facility 4 Custom Hiring'!G37</f>
        <v>0</v>
      </c>
      <c r="E11" s="34">
        <f>'15. Facility 4 Custom Hiring'!H37</f>
        <v>0</v>
      </c>
      <c r="F11" s="34">
        <f>'15. Facility 4 Custom Hiring'!I37</f>
        <v>0</v>
      </c>
      <c r="G11" s="34">
        <f>'15. Facility 4 Custom Hiring'!J37</f>
        <v>0</v>
      </c>
      <c r="H11" s="34">
        <f>'15. Facility 4 Custom Hiring'!K37</f>
        <v>0</v>
      </c>
    </row>
    <row r="12" spans="1:8" x14ac:dyDescent="0.2">
      <c r="A12" s="33" t="s">
        <v>497</v>
      </c>
      <c r="B12" s="34">
        <f>'16.Facility 5 Agri Input'!D191</f>
        <v>0</v>
      </c>
      <c r="C12" s="34">
        <f>'16.Facility 5 Agri Input'!E191</f>
        <v>0</v>
      </c>
      <c r="D12" s="34">
        <f>'16.Facility 5 Agri Input'!F191</f>
        <v>0</v>
      </c>
      <c r="E12" s="34">
        <f>'16.Facility 5 Agri Input'!G191</f>
        <v>0</v>
      </c>
      <c r="F12" s="34">
        <f>'16.Facility 5 Agri Input'!H191</f>
        <v>0</v>
      </c>
      <c r="G12" s="34">
        <f>'16.Facility 5 Agri Input'!I191</f>
        <v>0</v>
      </c>
      <c r="H12" s="34">
        <f>'16.Facility 5 Agri Input'!J191</f>
        <v>0</v>
      </c>
    </row>
    <row r="13" spans="1:8" x14ac:dyDescent="0.2">
      <c r="A13" s="33" t="s">
        <v>522</v>
      </c>
      <c r="B13" s="34">
        <f>'17.Facility 6 Horti Processing '!D159</f>
        <v>0</v>
      </c>
      <c r="C13" s="34">
        <f>'17.Facility 6 Horti Processing '!E159</f>
        <v>0</v>
      </c>
      <c r="D13" s="34">
        <f>'17.Facility 6 Horti Processing '!F159</f>
        <v>0</v>
      </c>
      <c r="E13" s="34">
        <f>'17.Facility 6 Horti Processing '!G159</f>
        <v>0</v>
      </c>
      <c r="F13" s="34">
        <f>'17.Facility 6 Horti Processing '!H159</f>
        <v>0</v>
      </c>
      <c r="G13" s="34">
        <f>'17.Facility 6 Horti Processing '!I159</f>
        <v>0</v>
      </c>
      <c r="H13" s="34">
        <f>'17.Facility 6 Horti Processing '!J159</f>
        <v>0</v>
      </c>
    </row>
    <row r="14" spans="1:8" x14ac:dyDescent="0.2">
      <c r="A14" s="33"/>
      <c r="B14" s="34"/>
      <c r="C14" s="34"/>
      <c r="D14" s="34"/>
      <c r="E14" s="34"/>
      <c r="F14" s="34"/>
      <c r="G14" s="34"/>
      <c r="H14" s="34"/>
    </row>
    <row r="15" spans="1:8" x14ac:dyDescent="0.2">
      <c r="A15" s="35" t="s">
        <v>143</v>
      </c>
      <c r="B15" s="48">
        <f>SUM(B8:B14)</f>
        <v>41542200</v>
      </c>
      <c r="C15" s="48">
        <f t="shared" ref="C15:H15" si="0">SUM(C8:C14)</f>
        <v>48871431</v>
      </c>
      <c r="D15" s="48">
        <f t="shared" si="0"/>
        <v>55988500.050000012</v>
      </c>
      <c r="E15" s="48">
        <f t="shared" si="0"/>
        <v>63695097.427500024</v>
      </c>
      <c r="F15" s="48">
        <f t="shared" si="0"/>
        <v>72032383.292625025</v>
      </c>
      <c r="G15" s="48">
        <f t="shared" si="0"/>
        <v>81044160.000693798</v>
      </c>
      <c r="H15" s="48">
        <f t="shared" si="0"/>
        <v>90777033.421337873</v>
      </c>
    </row>
    <row r="16" spans="1:8" x14ac:dyDescent="0.2">
      <c r="A16" s="33"/>
      <c r="B16" s="34"/>
      <c r="C16" s="34"/>
      <c r="D16" s="34"/>
      <c r="E16" s="34"/>
      <c r="F16" s="34"/>
      <c r="G16" s="34"/>
      <c r="H16" s="34"/>
    </row>
    <row r="17" spans="1:8" x14ac:dyDescent="0.2">
      <c r="A17" s="35" t="s">
        <v>306</v>
      </c>
      <c r="B17" s="34"/>
      <c r="C17" s="34"/>
      <c r="D17" s="34"/>
      <c r="E17" s="34"/>
      <c r="F17" s="34"/>
      <c r="G17" s="34"/>
      <c r="H17" s="34"/>
    </row>
    <row r="18" spans="1:8" x14ac:dyDescent="0.2">
      <c r="A18" s="33" t="str">
        <f t="shared" ref="A18:A23" si="1">A8</f>
        <v>Faclitiy 1 - Cleaning &amp; Grading</v>
      </c>
      <c r="B18" s="34">
        <f>'12.Facility 1 - Trading'!D214</f>
        <v>33119501.848999996</v>
      </c>
      <c r="C18" s="34">
        <f>'12.Facility 1 - Trading'!E214</f>
        <v>38868731.186449997</v>
      </c>
      <c r="D18" s="34">
        <f>'12.Facility 1 - Trading'!F214</f>
        <v>44470122.847972512</v>
      </c>
      <c r="E18" s="34">
        <f>'12.Facility 1 - Trading'!G214</f>
        <v>50534481.847681142</v>
      </c>
      <c r="F18" s="34">
        <f>'12.Facility 1 - Trading'!H214</f>
        <v>57094101.440240718</v>
      </c>
      <c r="G18" s="34">
        <f>'12.Facility 1 - Trading'!I214</f>
        <v>64183346.787437022</v>
      </c>
      <c r="H18" s="34">
        <f>'12.Facility 1 - Trading'!J214</f>
        <v>71838781.415752381</v>
      </c>
    </row>
    <row r="19" spans="1:8" x14ac:dyDescent="0.2">
      <c r="A19" s="33" t="str">
        <f t="shared" si="1"/>
        <v>Faclitiy 2 - Processing Unit- Dal Mill</v>
      </c>
      <c r="B19" s="34">
        <f>'13.Facility 2 Grain Processing'!D173</f>
        <v>0</v>
      </c>
      <c r="C19" s="34">
        <f>'13.Facility 2 Grain Processing'!E173</f>
        <v>0</v>
      </c>
      <c r="D19" s="34">
        <f>'13.Facility 2 Grain Processing'!F173</f>
        <v>0</v>
      </c>
      <c r="E19" s="34">
        <f>'13.Facility 2 Grain Processing'!G173</f>
        <v>0</v>
      </c>
      <c r="F19" s="34">
        <f>'13.Facility 2 Grain Processing'!H173</f>
        <v>0</v>
      </c>
      <c r="G19" s="34">
        <f>'13.Facility 2 Grain Processing'!I173</f>
        <v>0</v>
      </c>
      <c r="H19" s="34">
        <f>'13.Facility 2 Grain Processing'!J173</f>
        <v>0</v>
      </c>
    </row>
    <row r="20" spans="1:8" x14ac:dyDescent="0.2">
      <c r="A20" s="33" t="str">
        <f t="shared" si="1"/>
        <v>Faclitiy 3 - Warehouse</v>
      </c>
      <c r="B20" s="34">
        <f>'14. Facility 3 Warehouse'!D34</f>
        <v>0</v>
      </c>
      <c r="C20" s="34">
        <f>'14. Facility 3 Warehouse'!E34</f>
        <v>0</v>
      </c>
      <c r="D20" s="34">
        <f>'14. Facility 3 Warehouse'!F34</f>
        <v>0</v>
      </c>
      <c r="E20" s="34">
        <f>'14. Facility 3 Warehouse'!G34</f>
        <v>0</v>
      </c>
      <c r="F20" s="34">
        <f>'14. Facility 3 Warehouse'!H34</f>
        <v>0</v>
      </c>
      <c r="G20" s="34">
        <f>'14. Facility 3 Warehouse'!I34</f>
        <v>0</v>
      </c>
      <c r="H20" s="34">
        <f>'14. Facility 3 Warehouse'!J34</f>
        <v>0</v>
      </c>
    </row>
    <row r="21" spans="1:8" x14ac:dyDescent="0.2">
      <c r="A21" s="33" t="str">
        <f t="shared" si="1"/>
        <v xml:space="preserve">Faclitiy 4 - Custom Hiring </v>
      </c>
      <c r="B21" s="34">
        <f>'15. Facility 4 Custom Hiring'!E47</f>
        <v>0</v>
      </c>
      <c r="C21" s="34">
        <f>'15. Facility 4 Custom Hiring'!F47</f>
        <v>0</v>
      </c>
      <c r="D21" s="34">
        <f>'15. Facility 4 Custom Hiring'!G47</f>
        <v>0</v>
      </c>
      <c r="E21" s="34">
        <f>'15. Facility 4 Custom Hiring'!H47</f>
        <v>0</v>
      </c>
      <c r="F21" s="34">
        <f>'15. Facility 4 Custom Hiring'!I47</f>
        <v>0</v>
      </c>
      <c r="G21" s="34">
        <f>'15. Facility 4 Custom Hiring'!J47</f>
        <v>0</v>
      </c>
      <c r="H21" s="34">
        <f>'15. Facility 4 Custom Hiring'!K47</f>
        <v>0</v>
      </c>
    </row>
    <row r="22" spans="1:8" x14ac:dyDescent="0.2">
      <c r="A22" s="33" t="str">
        <f t="shared" si="1"/>
        <v>Faclitiy 5 - Agri Input Centre</v>
      </c>
      <c r="B22" s="34">
        <f>'16.Facility 5 Agri Input'!D263</f>
        <v>0</v>
      </c>
      <c r="C22" s="34">
        <f>'16.Facility 5 Agri Input'!E263</f>
        <v>0</v>
      </c>
      <c r="D22" s="34">
        <f>'16.Facility 5 Agri Input'!F263</f>
        <v>0</v>
      </c>
      <c r="E22" s="34">
        <f>'16.Facility 5 Agri Input'!G263</f>
        <v>0</v>
      </c>
      <c r="F22" s="34">
        <f>'16.Facility 5 Agri Input'!H263</f>
        <v>0</v>
      </c>
      <c r="G22" s="34">
        <f>'16.Facility 5 Agri Input'!I263</f>
        <v>0</v>
      </c>
      <c r="H22" s="34">
        <f>'16.Facility 5 Agri Input'!J263</f>
        <v>0</v>
      </c>
    </row>
    <row r="23" spans="1:8" x14ac:dyDescent="0.2">
      <c r="A23" s="33" t="str">
        <f t="shared" si="1"/>
        <v>Facility 6 - Processing Unit - Horti Commodity</v>
      </c>
      <c r="B23" s="34">
        <f>'17.Facility 6 Horti Processing '!D177</f>
        <v>0</v>
      </c>
      <c r="C23" s="34">
        <f>'17.Facility 6 Horti Processing '!E177</f>
        <v>0</v>
      </c>
      <c r="D23" s="34">
        <f>'17.Facility 6 Horti Processing '!F177</f>
        <v>0</v>
      </c>
      <c r="E23" s="34">
        <f>'17.Facility 6 Horti Processing '!G177</f>
        <v>0</v>
      </c>
      <c r="F23" s="34">
        <f>'17.Facility 6 Horti Processing '!H177</f>
        <v>0</v>
      </c>
      <c r="G23" s="34">
        <f>'17.Facility 6 Horti Processing '!I177</f>
        <v>0</v>
      </c>
      <c r="H23" s="34">
        <f>'17.Facility 6 Horti Processing '!J177</f>
        <v>0</v>
      </c>
    </row>
    <row r="24" spans="1:8" x14ac:dyDescent="0.2">
      <c r="A24" s="33"/>
      <c r="B24" s="34"/>
      <c r="C24" s="34"/>
      <c r="D24" s="34"/>
      <c r="E24" s="34"/>
      <c r="F24" s="34"/>
      <c r="G24" s="34"/>
      <c r="H24" s="34"/>
    </row>
    <row r="25" spans="1:8" x14ac:dyDescent="0.2">
      <c r="A25" s="35" t="s">
        <v>312</v>
      </c>
      <c r="B25" s="48">
        <f>SUM(B18:B24)</f>
        <v>33119501.848999996</v>
      </c>
      <c r="C25" s="48">
        <f t="shared" ref="C25:H25" si="2">SUM(C18:C24)</f>
        <v>38868731.186449997</v>
      </c>
      <c r="D25" s="48">
        <f t="shared" si="2"/>
        <v>44470122.847972512</v>
      </c>
      <c r="E25" s="48">
        <f t="shared" si="2"/>
        <v>50534481.847681142</v>
      </c>
      <c r="F25" s="48">
        <f t="shared" si="2"/>
        <v>57094101.440240718</v>
      </c>
      <c r="G25" s="48">
        <f t="shared" si="2"/>
        <v>64183346.787437022</v>
      </c>
      <c r="H25" s="48">
        <f t="shared" si="2"/>
        <v>71838781.415752381</v>
      </c>
    </row>
    <row r="26" spans="1:8" x14ac:dyDescent="0.2">
      <c r="A26" s="33"/>
      <c r="B26" s="34"/>
      <c r="C26" s="34"/>
      <c r="D26" s="34"/>
      <c r="E26" s="34"/>
      <c r="F26" s="34"/>
      <c r="G26" s="34"/>
      <c r="H26" s="34"/>
    </row>
    <row r="27" spans="1:8" x14ac:dyDescent="0.2">
      <c r="A27" s="35" t="s">
        <v>305</v>
      </c>
      <c r="B27" s="34"/>
      <c r="C27" s="34"/>
      <c r="D27" s="34"/>
      <c r="E27" s="34"/>
      <c r="F27" s="34"/>
      <c r="G27" s="34"/>
      <c r="H27" s="34"/>
    </row>
    <row r="28" spans="1:8" x14ac:dyDescent="0.2">
      <c r="A28" s="33" t="str">
        <f t="shared" ref="A28:A33" si="3">A18</f>
        <v>Faclitiy 1 - Cleaning &amp; Grading</v>
      </c>
      <c r="B28" s="34">
        <f>'12.Facility 1 - Trading'!D221</f>
        <v>1608000</v>
      </c>
      <c r="C28" s="34">
        <f>'12.Facility 1 - Trading'!E221</f>
        <v>1688400</v>
      </c>
      <c r="D28" s="34">
        <f>'12.Facility 1 - Trading'!F221</f>
        <v>1772820</v>
      </c>
      <c r="E28" s="34">
        <f>'12.Facility 1 - Trading'!G221</f>
        <v>1861461.0000000002</v>
      </c>
      <c r="F28" s="34">
        <f>'12.Facility 1 - Trading'!H221</f>
        <v>1954534.0500000003</v>
      </c>
      <c r="G28" s="34">
        <f>'12.Facility 1 - Trading'!I221</f>
        <v>2052260.7525000006</v>
      </c>
      <c r="H28" s="34">
        <f>'12.Facility 1 - Trading'!J221</f>
        <v>2154873.7901250008</v>
      </c>
    </row>
    <row r="29" spans="1:8" x14ac:dyDescent="0.2">
      <c r="A29" s="33" t="str">
        <f t="shared" si="3"/>
        <v>Faclitiy 2 - Processing Unit- Dal Mill</v>
      </c>
      <c r="B29" s="34">
        <f>'13.Facility 2 Grain Processing'!D180</f>
        <v>0</v>
      </c>
      <c r="C29" s="34">
        <f>'13.Facility 2 Grain Processing'!E180</f>
        <v>0</v>
      </c>
      <c r="D29" s="34">
        <f>'13.Facility 2 Grain Processing'!F180</f>
        <v>0</v>
      </c>
      <c r="E29" s="34">
        <f>'13.Facility 2 Grain Processing'!G180</f>
        <v>0</v>
      </c>
      <c r="F29" s="34">
        <f>'13.Facility 2 Grain Processing'!H180</f>
        <v>0</v>
      </c>
      <c r="G29" s="34">
        <f>'13.Facility 2 Grain Processing'!I180</f>
        <v>0</v>
      </c>
      <c r="H29" s="34">
        <f>'13.Facility 2 Grain Processing'!J180</f>
        <v>0</v>
      </c>
    </row>
    <row r="30" spans="1:8" x14ac:dyDescent="0.2">
      <c r="A30" s="33" t="str">
        <f t="shared" si="3"/>
        <v>Faclitiy 3 - Warehouse</v>
      </c>
      <c r="B30" s="34">
        <f>'14. Facility 3 Warehouse'!D43</f>
        <v>0</v>
      </c>
      <c r="C30" s="34">
        <f>'14. Facility 3 Warehouse'!E43</f>
        <v>0</v>
      </c>
      <c r="D30" s="34">
        <f>'14. Facility 3 Warehouse'!F43</f>
        <v>0</v>
      </c>
      <c r="E30" s="34">
        <f>'14. Facility 3 Warehouse'!G43</f>
        <v>0</v>
      </c>
      <c r="F30" s="34">
        <f>'14. Facility 3 Warehouse'!H43</f>
        <v>0</v>
      </c>
      <c r="G30" s="34">
        <f>'14. Facility 3 Warehouse'!I43</f>
        <v>0</v>
      </c>
      <c r="H30" s="34">
        <f>'14. Facility 3 Warehouse'!J43</f>
        <v>0</v>
      </c>
    </row>
    <row r="31" spans="1:8" x14ac:dyDescent="0.2">
      <c r="A31" s="33" t="str">
        <f t="shared" si="3"/>
        <v xml:space="preserve">Faclitiy 4 - Custom Hiring </v>
      </c>
      <c r="B31" s="34">
        <f>'15. Facility 4 Custom Hiring'!E52</f>
        <v>0</v>
      </c>
      <c r="C31" s="34">
        <f>'15. Facility 4 Custom Hiring'!F52</f>
        <v>0</v>
      </c>
      <c r="D31" s="34">
        <f>'15. Facility 4 Custom Hiring'!G52</f>
        <v>0</v>
      </c>
      <c r="E31" s="34">
        <f>'15. Facility 4 Custom Hiring'!H52</f>
        <v>0</v>
      </c>
      <c r="F31" s="34">
        <f>'15. Facility 4 Custom Hiring'!I52</f>
        <v>0</v>
      </c>
      <c r="G31" s="34">
        <f>'15. Facility 4 Custom Hiring'!J52</f>
        <v>0</v>
      </c>
      <c r="H31" s="34">
        <f>'15. Facility 4 Custom Hiring'!K52</f>
        <v>0</v>
      </c>
    </row>
    <row r="32" spans="1:8" x14ac:dyDescent="0.2">
      <c r="A32" s="33" t="str">
        <f t="shared" si="3"/>
        <v>Faclitiy 5 - Agri Input Centre</v>
      </c>
      <c r="B32" s="34">
        <f>'16.Facility 5 Agri Input'!D274</f>
        <v>0</v>
      </c>
      <c r="C32" s="34">
        <f>'16.Facility 5 Agri Input'!E274</f>
        <v>0</v>
      </c>
      <c r="D32" s="34">
        <f>'16.Facility 5 Agri Input'!F274</f>
        <v>0</v>
      </c>
      <c r="E32" s="34">
        <f>'16.Facility 5 Agri Input'!G274</f>
        <v>0</v>
      </c>
      <c r="F32" s="34">
        <f>'16.Facility 5 Agri Input'!H274</f>
        <v>0</v>
      </c>
      <c r="G32" s="34">
        <f>'16.Facility 5 Agri Input'!I274</f>
        <v>0</v>
      </c>
      <c r="H32" s="34">
        <f>'16.Facility 5 Agri Input'!J274</f>
        <v>0</v>
      </c>
    </row>
    <row r="33" spans="1:8" x14ac:dyDescent="0.2">
      <c r="A33" s="33" t="str">
        <f t="shared" si="3"/>
        <v>Facility 6 - Processing Unit - Horti Commodity</v>
      </c>
      <c r="B33" s="34">
        <f>'17.Facility 6 Horti Processing '!D185</f>
        <v>0</v>
      </c>
      <c r="C33" s="34">
        <f>'17.Facility 6 Horti Processing '!E185</f>
        <v>0</v>
      </c>
      <c r="D33" s="34">
        <f>'17.Facility 6 Horti Processing '!F185</f>
        <v>0</v>
      </c>
      <c r="E33" s="34">
        <f>'17.Facility 6 Horti Processing '!G185</f>
        <v>0</v>
      </c>
      <c r="F33" s="34">
        <f>'17.Facility 6 Horti Processing '!H185</f>
        <v>0</v>
      </c>
      <c r="G33" s="34">
        <f>'17.Facility 6 Horti Processing '!I185</f>
        <v>0</v>
      </c>
      <c r="H33" s="34">
        <f>'17.Facility 6 Horti Processing '!J185</f>
        <v>0</v>
      </c>
    </row>
    <row r="34" spans="1:8" x14ac:dyDescent="0.2">
      <c r="A34" s="33"/>
      <c r="B34" s="34"/>
      <c r="C34" s="34"/>
      <c r="D34" s="34"/>
      <c r="E34" s="34"/>
      <c r="F34" s="34"/>
      <c r="G34" s="34"/>
      <c r="H34" s="34"/>
    </row>
    <row r="35" spans="1:8" x14ac:dyDescent="0.2">
      <c r="A35" s="33" t="s">
        <v>9</v>
      </c>
      <c r="B35" s="34">
        <f>'3.Other Exp &amp; Taxes'!E24</f>
        <v>1696000</v>
      </c>
      <c r="C35" s="34">
        <f>'3.Other Exp &amp; Taxes'!F24</f>
        <v>1780800</v>
      </c>
      <c r="D35" s="34">
        <f>'3.Other Exp &amp; Taxes'!G24</f>
        <v>1869840</v>
      </c>
      <c r="E35" s="34">
        <f>'3.Other Exp &amp; Taxes'!H24</f>
        <v>1963332.0000000002</v>
      </c>
      <c r="F35" s="34">
        <f>'3.Other Exp &amp; Taxes'!I24</f>
        <v>2061498.6</v>
      </c>
      <c r="G35" s="34">
        <f>'3.Other Exp &amp; Taxes'!J24</f>
        <v>2164573.5300000012</v>
      </c>
      <c r="H35" s="34">
        <f>'3.Other Exp &amp; Taxes'!K24</f>
        <v>2272802.2065000008</v>
      </c>
    </row>
    <row r="36" spans="1:8" x14ac:dyDescent="0.2">
      <c r="A36" s="35" t="s">
        <v>316</v>
      </c>
      <c r="B36" s="48">
        <f t="shared" ref="B36:H36" si="4">SUM(B28:B35)</f>
        <v>3304000</v>
      </c>
      <c r="C36" s="48">
        <f t="shared" si="4"/>
        <v>3469200</v>
      </c>
      <c r="D36" s="48">
        <f t="shared" si="4"/>
        <v>3642660</v>
      </c>
      <c r="E36" s="48">
        <f t="shared" si="4"/>
        <v>3824793.0000000005</v>
      </c>
      <c r="F36" s="48">
        <f t="shared" si="4"/>
        <v>4016032.6500000004</v>
      </c>
      <c r="G36" s="48">
        <f t="shared" si="4"/>
        <v>4216834.2825000016</v>
      </c>
      <c r="H36" s="48">
        <f t="shared" si="4"/>
        <v>4427675.9966250015</v>
      </c>
    </row>
    <row r="37" spans="1:8" x14ac:dyDescent="0.2">
      <c r="A37" s="33"/>
      <c r="B37" s="34"/>
      <c r="C37" s="34"/>
      <c r="D37" s="34"/>
      <c r="E37" s="34"/>
      <c r="F37" s="34"/>
      <c r="G37" s="34"/>
      <c r="H37" s="34"/>
    </row>
    <row r="38" spans="1:8" x14ac:dyDescent="0.2">
      <c r="A38" s="35" t="s">
        <v>321</v>
      </c>
      <c r="B38" s="48">
        <f t="shared" ref="B38:H38" si="5">B25+B36</f>
        <v>36423501.848999992</v>
      </c>
      <c r="C38" s="48">
        <f t="shared" si="5"/>
        <v>42337931.186449997</v>
      </c>
      <c r="D38" s="48">
        <f t="shared" si="5"/>
        <v>48112782.847972512</v>
      </c>
      <c r="E38" s="48">
        <f t="shared" si="5"/>
        <v>54359274.847681142</v>
      </c>
      <c r="F38" s="48">
        <f t="shared" si="5"/>
        <v>61110134.090240717</v>
      </c>
      <c r="G38" s="48">
        <f t="shared" si="5"/>
        <v>68400181.069937021</v>
      </c>
      <c r="H38" s="48">
        <f t="shared" si="5"/>
        <v>76266457.412377387</v>
      </c>
    </row>
    <row r="39" spans="1:8" x14ac:dyDescent="0.2">
      <c r="A39" s="33"/>
      <c r="B39" s="34"/>
      <c r="C39" s="34"/>
      <c r="D39" s="34"/>
      <c r="E39" s="34"/>
      <c r="F39" s="34"/>
      <c r="G39" s="34"/>
      <c r="H39" s="34"/>
    </row>
    <row r="40" spans="1:8" x14ac:dyDescent="0.2">
      <c r="A40" s="35" t="s">
        <v>136</v>
      </c>
      <c r="B40" s="48">
        <f t="shared" ref="B40:H40" si="6">B15-B38</f>
        <v>5118698.151000008</v>
      </c>
      <c r="C40" s="48">
        <f t="shared" si="6"/>
        <v>6533499.8135500029</v>
      </c>
      <c r="D40" s="48">
        <f t="shared" si="6"/>
        <v>7875717.2020274997</v>
      </c>
      <c r="E40" s="48">
        <f t="shared" si="6"/>
        <v>9335822.579818882</v>
      </c>
      <c r="F40" s="48">
        <f t="shared" si="6"/>
        <v>10922249.202384308</v>
      </c>
      <c r="G40" s="48">
        <f t="shared" si="6"/>
        <v>12643978.930756778</v>
      </c>
      <c r="H40" s="48">
        <f t="shared" si="6"/>
        <v>14510576.008960485</v>
      </c>
    </row>
    <row r="41" spans="1:8" x14ac:dyDescent="0.2">
      <c r="A41" s="33"/>
      <c r="B41" s="34"/>
      <c r="C41" s="34"/>
      <c r="D41" s="34"/>
      <c r="E41" s="34"/>
      <c r="F41" s="34"/>
      <c r="G41" s="34"/>
      <c r="H41" s="34"/>
    </row>
    <row r="42" spans="1:8" x14ac:dyDescent="0.2">
      <c r="A42" s="33" t="s">
        <v>17</v>
      </c>
      <c r="B42" s="34">
        <f>'3.Other Exp &amp; Taxes'!C67</f>
        <v>1357557.1910339999</v>
      </c>
      <c r="C42" s="34">
        <f>'3.Other Exp &amp; Taxes'!D67</f>
        <v>1357557.1910339999</v>
      </c>
      <c r="D42" s="34">
        <f>'3.Other Exp &amp; Taxes'!E67</f>
        <v>1357557.1910339999</v>
      </c>
      <c r="E42" s="34">
        <f>'3.Other Exp &amp; Taxes'!F67</f>
        <v>1357557.1910339999</v>
      </c>
      <c r="F42" s="34">
        <f>'3.Other Exp &amp; Taxes'!G67</f>
        <v>1357557.1910339999</v>
      </c>
      <c r="G42" s="34">
        <f>'3.Other Exp &amp; Taxes'!H67</f>
        <v>1357557.1910339999</v>
      </c>
      <c r="H42" s="34">
        <f>'3.Other Exp &amp; Taxes'!I67</f>
        <v>1357557.1910339999</v>
      </c>
    </row>
    <row r="43" spans="1:8" x14ac:dyDescent="0.2">
      <c r="A43" s="33" t="s">
        <v>137</v>
      </c>
      <c r="B43" s="34">
        <f>'3.Other Exp &amp; Taxes'!C88</f>
        <v>82310</v>
      </c>
      <c r="C43" s="34">
        <f>'3.Other Exp &amp; Taxes'!D88</f>
        <v>82310</v>
      </c>
      <c r="D43" s="34">
        <f>'3.Other Exp &amp; Taxes'!E88</f>
        <v>82310</v>
      </c>
      <c r="E43" s="34">
        <f>'3.Other Exp &amp; Taxes'!F88</f>
        <v>82310</v>
      </c>
      <c r="F43" s="34">
        <f>'3.Other Exp &amp; Taxes'!G88</f>
        <v>82310</v>
      </c>
      <c r="G43" s="34">
        <f>'3.Other Exp &amp; Taxes'!H88</f>
        <v>0</v>
      </c>
      <c r="H43" s="34">
        <f>'3.Other Exp &amp; Taxes'!I88</f>
        <v>0</v>
      </c>
    </row>
    <row r="44" spans="1:8" x14ac:dyDescent="0.2">
      <c r="A44" s="33"/>
      <c r="B44" s="34"/>
      <c r="C44" s="34"/>
      <c r="D44" s="34"/>
      <c r="E44" s="34"/>
      <c r="F44" s="34"/>
      <c r="G44" s="34"/>
      <c r="H44" s="34"/>
    </row>
    <row r="45" spans="1:8" x14ac:dyDescent="0.2">
      <c r="A45" s="35" t="s">
        <v>138</v>
      </c>
      <c r="B45" s="48">
        <f>B40-B42-B43</f>
        <v>3678830.9599660081</v>
      </c>
      <c r="C45" s="48">
        <f t="shared" ref="C45:H45" si="7">C40-C42-C43</f>
        <v>5093632.6225160025</v>
      </c>
      <c r="D45" s="48">
        <f t="shared" si="7"/>
        <v>6435850.0109934993</v>
      </c>
      <c r="E45" s="48">
        <f t="shared" si="7"/>
        <v>7895955.3887848817</v>
      </c>
      <c r="F45" s="48">
        <f t="shared" si="7"/>
        <v>9482382.0113503076</v>
      </c>
      <c r="G45" s="48">
        <f t="shared" si="7"/>
        <v>11286421.739722777</v>
      </c>
      <c r="H45" s="48">
        <f t="shared" si="7"/>
        <v>13153018.817926485</v>
      </c>
    </row>
    <row r="46" spans="1:8" x14ac:dyDescent="0.2">
      <c r="A46" s="33"/>
      <c r="B46" s="34"/>
      <c r="C46" s="34"/>
      <c r="D46" s="34"/>
      <c r="E46" s="34"/>
      <c r="F46" s="34"/>
      <c r="G46" s="34"/>
      <c r="H46" s="34"/>
    </row>
    <row r="47" spans="1:8" x14ac:dyDescent="0.2">
      <c r="A47" s="33" t="s">
        <v>703</v>
      </c>
      <c r="B47" s="34">
        <f>SUM(D76:D87)+'8.Cash Flow '!C29</f>
        <v>309798.40019547945</v>
      </c>
      <c r="C47" s="34">
        <f>SUM(D88:D99)+'8.Cash Flow '!D29</f>
        <v>485863.43359093153</v>
      </c>
      <c r="D47" s="34">
        <f>SUM(D100:D111)+'8.Cash Flow '!E29</f>
        <v>556612.50367825909</v>
      </c>
      <c r="E47" s="34">
        <f>SUM(D112:D123)+'8.Cash Flow '!F29</f>
        <v>633221.82219034201</v>
      </c>
      <c r="F47" s="34">
        <f>SUM(D124:D135)+'8.Cash Flow '!G29</f>
        <v>716100.54129443725</v>
      </c>
      <c r="G47" s="34">
        <f>SUM(D136:D147)+'8.Cash Flow '!H29</f>
        <v>805684.07775346679</v>
      </c>
      <c r="H47" s="34">
        <f>SUM(D148:D159)+'8.Cash Flow '!I29</f>
        <v>902435.71650516277</v>
      </c>
    </row>
    <row r="48" spans="1:8" x14ac:dyDescent="0.2">
      <c r="A48" s="33"/>
      <c r="B48" s="34"/>
      <c r="C48" s="34"/>
      <c r="D48" s="34"/>
      <c r="E48" s="34"/>
      <c r="F48" s="34"/>
      <c r="G48" s="34"/>
      <c r="H48" s="34"/>
    </row>
    <row r="49" spans="1:8" x14ac:dyDescent="0.2">
      <c r="A49" s="33" t="s">
        <v>25</v>
      </c>
      <c r="B49" s="34">
        <f>B45-B47</f>
        <v>3369032.5597705287</v>
      </c>
      <c r="C49" s="34">
        <f t="shared" ref="C49:H49" si="8">C45-C47</f>
        <v>4607769.1889250707</v>
      </c>
      <c r="D49" s="34">
        <f t="shared" si="8"/>
        <v>5879237.5073152399</v>
      </c>
      <c r="E49" s="34">
        <f t="shared" si="8"/>
        <v>7262733.5665945392</v>
      </c>
      <c r="F49" s="34">
        <f t="shared" si="8"/>
        <v>8766281.4700558707</v>
      </c>
      <c r="G49" s="34">
        <f t="shared" si="8"/>
        <v>10480737.66196931</v>
      </c>
      <c r="H49" s="34">
        <f t="shared" si="8"/>
        <v>12250583.101421323</v>
      </c>
    </row>
    <row r="50" spans="1:8" x14ac:dyDescent="0.2">
      <c r="A50" s="33" t="s">
        <v>26</v>
      </c>
      <c r="B50" s="89">
        <f>B61</f>
        <v>269541.3806395774</v>
      </c>
      <c r="C50" s="89">
        <f t="shared" ref="C50:H50" si="9">C61</f>
        <v>726664.24690159853</v>
      </c>
      <c r="D50" s="89">
        <f t="shared" si="9"/>
        <v>1168850.7971942464</v>
      </c>
      <c r="E50" s="89">
        <f t="shared" si="9"/>
        <v>1622183.5931273517</v>
      </c>
      <c r="F50" s="89">
        <f t="shared" si="9"/>
        <v>2092547.9032085724</v>
      </c>
      <c r="G50" s="89">
        <f t="shared" si="9"/>
        <v>2606294.2360050203</v>
      </c>
      <c r="H50" s="89">
        <f t="shared" si="9"/>
        <v>3125011.5655399747</v>
      </c>
    </row>
    <row r="51" spans="1:8" x14ac:dyDescent="0.2">
      <c r="A51" s="35" t="s">
        <v>28</v>
      </c>
      <c r="B51" s="34">
        <f>B49-B50</f>
        <v>3099491.1791309514</v>
      </c>
      <c r="C51" s="34">
        <f>C49-C50</f>
        <v>3881104.9420234719</v>
      </c>
      <c r="D51" s="34">
        <f>D49-D50</f>
        <v>4710386.7101209937</v>
      </c>
      <c r="E51" s="34">
        <f>E49-E50</f>
        <v>5640549.973467188</v>
      </c>
      <c r="F51" s="34">
        <f>F49-F50</f>
        <v>6673733.5668472983</v>
      </c>
      <c r="G51" s="34">
        <f t="shared" ref="G51:H51" si="10">G49-G50</f>
        <v>7874443.4259642893</v>
      </c>
      <c r="H51" s="34">
        <f t="shared" si="10"/>
        <v>9125571.535881348</v>
      </c>
    </row>
    <row r="53" spans="1:8" x14ac:dyDescent="0.2">
      <c r="A53" s="82"/>
      <c r="B53" s="18"/>
      <c r="C53" s="18"/>
      <c r="D53" s="18"/>
      <c r="E53" s="18"/>
      <c r="F53" s="18"/>
      <c r="G53" s="18"/>
      <c r="H53" s="18"/>
    </row>
    <row r="54" spans="1:8" ht="18" x14ac:dyDescent="0.2">
      <c r="A54" s="497" t="s">
        <v>549</v>
      </c>
      <c r="B54" s="497"/>
      <c r="C54" s="497"/>
      <c r="D54" s="497"/>
      <c r="E54" s="497"/>
      <c r="F54" s="497"/>
      <c r="G54" s="497"/>
      <c r="H54" s="497"/>
    </row>
    <row r="55" spans="1:8" x14ac:dyDescent="0.2">
      <c r="A55" s="12"/>
      <c r="B55" s="18"/>
      <c r="C55" s="18"/>
      <c r="D55" s="18"/>
      <c r="E55" s="18"/>
      <c r="F55" s="18"/>
      <c r="G55" s="18"/>
      <c r="H55" s="18"/>
    </row>
    <row r="56" spans="1:8" x14ac:dyDescent="0.2">
      <c r="A56" s="52" t="s">
        <v>0</v>
      </c>
      <c r="B56" s="51" t="s">
        <v>2</v>
      </c>
      <c r="C56" s="51" t="s">
        <v>3</v>
      </c>
      <c r="D56" s="51" t="s">
        <v>4</v>
      </c>
      <c r="E56" s="51" t="s">
        <v>5</v>
      </c>
      <c r="F56" s="51" t="s">
        <v>6</v>
      </c>
      <c r="G56" s="51" t="s">
        <v>168</v>
      </c>
      <c r="H56" s="51" t="s">
        <v>167</v>
      </c>
    </row>
    <row r="57" spans="1:8" x14ac:dyDescent="0.2">
      <c r="A57" s="27" t="s">
        <v>223</v>
      </c>
      <c r="B57" s="53">
        <f>B49</f>
        <v>3369032.5597705287</v>
      </c>
      <c r="C57" s="53">
        <f t="shared" ref="C57:H57" si="11">C49</f>
        <v>4607769.1889250707</v>
      </c>
      <c r="D57" s="53">
        <f t="shared" si="11"/>
        <v>5879237.5073152399</v>
      </c>
      <c r="E57" s="53">
        <f t="shared" si="11"/>
        <v>7262733.5665945392</v>
      </c>
      <c r="F57" s="53">
        <f t="shared" si="11"/>
        <v>8766281.4700558707</v>
      </c>
      <c r="G57" s="53">
        <f t="shared" si="11"/>
        <v>10480737.66196931</v>
      </c>
      <c r="H57" s="53">
        <f t="shared" si="11"/>
        <v>12250583.101421323</v>
      </c>
    </row>
    <row r="58" spans="1:8" x14ac:dyDescent="0.2">
      <c r="A58" s="27" t="s">
        <v>224</v>
      </c>
      <c r="B58" s="53">
        <f>B42</f>
        <v>1357557.1910339999</v>
      </c>
      <c r="C58" s="53">
        <f t="shared" ref="C58:H58" si="12">C42</f>
        <v>1357557.1910339999</v>
      </c>
      <c r="D58" s="53">
        <f t="shared" si="12"/>
        <v>1357557.1910339999</v>
      </c>
      <c r="E58" s="53">
        <f t="shared" si="12"/>
        <v>1357557.1910339999</v>
      </c>
      <c r="F58" s="53">
        <f t="shared" si="12"/>
        <v>1357557.1910339999</v>
      </c>
      <c r="G58" s="53">
        <f t="shared" si="12"/>
        <v>1357557.1910339999</v>
      </c>
      <c r="H58" s="53">
        <f t="shared" si="12"/>
        <v>1357557.1910339999</v>
      </c>
    </row>
    <row r="59" spans="1:8" x14ac:dyDescent="0.2">
      <c r="A59" s="27" t="s">
        <v>225</v>
      </c>
      <c r="B59" s="53">
        <f>'3.Other Exp &amp; Taxes'!K67</f>
        <v>3689892.1329600001</v>
      </c>
      <c r="C59" s="53">
        <f>'3.Other Exp &amp; Taxes'!L67</f>
        <v>3170463.891876</v>
      </c>
      <c r="D59" s="53">
        <f>'3.Other Exp &amp; Taxes'!M67</f>
        <v>2741214.7091405997</v>
      </c>
      <c r="E59" s="53">
        <f>'3.Other Exp &amp; Taxes'!N67</f>
        <v>2381123.0917541101</v>
      </c>
      <c r="F59" s="53">
        <f>'3.Other Exp &amp; Taxes'!O67</f>
        <v>2075577.4949030536</v>
      </c>
      <c r="G59" s="53">
        <f>'3.Other Exp &amp; Taxes'!P67</f>
        <v>1814086.2529840015</v>
      </c>
      <c r="H59" s="53">
        <f>'3.Other Exp &amp; Taxes'!Q67</f>
        <v>1588865.0403784979</v>
      </c>
    </row>
    <row r="60" spans="1:8" x14ac:dyDescent="0.2">
      <c r="A60" s="27" t="s">
        <v>286</v>
      </c>
      <c r="B60" s="53">
        <f t="shared" ref="B60:H60" si="13">B57+B58-B59</f>
        <v>1036697.6178445285</v>
      </c>
      <c r="C60" s="53">
        <f t="shared" si="13"/>
        <v>2794862.4880830711</v>
      </c>
      <c r="D60" s="53">
        <f t="shared" si="13"/>
        <v>4495579.9892086396</v>
      </c>
      <c r="E60" s="53">
        <f t="shared" si="13"/>
        <v>6239167.665874429</v>
      </c>
      <c r="F60" s="53">
        <f t="shared" si="13"/>
        <v>8048261.166186817</v>
      </c>
      <c r="G60" s="53">
        <f t="shared" si="13"/>
        <v>10024208.600019308</v>
      </c>
      <c r="H60" s="53">
        <f t="shared" si="13"/>
        <v>12019275.252076825</v>
      </c>
    </row>
    <row r="61" spans="1:8" x14ac:dyDescent="0.2">
      <c r="A61" s="29" t="s">
        <v>226</v>
      </c>
      <c r="B61" s="88">
        <f>IF(B60&gt;0,B60*$B$64,"0")</f>
        <v>269541.3806395774</v>
      </c>
      <c r="C61" s="54">
        <f>IF(C60&gt;0,C60*$B$64,"0")</f>
        <v>726664.24690159853</v>
      </c>
      <c r="D61" s="54">
        <f>IF(D60&gt;0,D60*$B$64,"0")</f>
        <v>1168850.7971942464</v>
      </c>
      <c r="E61" s="54">
        <f t="shared" ref="E61:H61" si="14">IF(E60&gt;0,E60*$B$64,"0")</f>
        <v>1622183.5931273517</v>
      </c>
      <c r="F61" s="54">
        <f t="shared" si="14"/>
        <v>2092547.9032085724</v>
      </c>
      <c r="G61" s="54">
        <f t="shared" si="14"/>
        <v>2606294.2360050203</v>
      </c>
      <c r="H61" s="54">
        <f t="shared" si="14"/>
        <v>3125011.5655399747</v>
      </c>
    </row>
    <row r="62" spans="1:8" x14ac:dyDescent="0.2">
      <c r="A62" s="13"/>
      <c r="B62" s="18"/>
      <c r="C62" s="18"/>
      <c r="D62" s="18"/>
      <c r="E62" s="18"/>
      <c r="F62" s="18"/>
      <c r="G62" s="18"/>
      <c r="H62" s="18"/>
    </row>
    <row r="63" spans="1:8" x14ac:dyDescent="0.2">
      <c r="A63" s="13"/>
      <c r="B63" s="14"/>
      <c r="C63" s="14"/>
      <c r="D63" s="14"/>
      <c r="E63" s="14"/>
      <c r="F63" s="14"/>
      <c r="G63" s="14"/>
      <c r="H63" s="14"/>
    </row>
    <row r="64" spans="1:8" x14ac:dyDescent="0.2">
      <c r="A64" s="15" t="s">
        <v>380</v>
      </c>
      <c r="B64" s="66">
        <v>0.26</v>
      </c>
      <c r="C64" s="14"/>
      <c r="D64" s="14"/>
      <c r="E64" s="14"/>
      <c r="F64" s="14"/>
      <c r="G64" s="14"/>
      <c r="H64" s="14"/>
    </row>
    <row r="65" spans="1:8" x14ac:dyDescent="0.2">
      <c r="A65" s="18"/>
      <c r="B65" s="18"/>
      <c r="C65" s="18"/>
      <c r="D65" s="18"/>
      <c r="E65" s="18"/>
      <c r="F65" s="18"/>
      <c r="G65" s="18"/>
      <c r="H65" s="18"/>
    </row>
    <row r="66" spans="1:8" x14ac:dyDescent="0.2">
      <c r="A66" s="498" t="s">
        <v>411</v>
      </c>
      <c r="B66" s="498"/>
      <c r="C66" s="498"/>
      <c r="D66" s="498"/>
      <c r="E66" s="498"/>
      <c r="F66" s="498"/>
      <c r="G66" s="498"/>
      <c r="H66" s="498"/>
    </row>
    <row r="68" spans="1:8" ht="18" x14ac:dyDescent="0.2">
      <c r="A68" s="496" t="s">
        <v>550</v>
      </c>
      <c r="B68" s="496"/>
      <c r="C68" s="496"/>
      <c r="D68" s="496"/>
      <c r="E68" s="496"/>
      <c r="F68" s="496"/>
      <c r="G68" s="499"/>
    </row>
    <row r="69" spans="1:8" ht="14.45" customHeight="1" x14ac:dyDescent="0.2">
      <c r="B69" s="7"/>
      <c r="C69" s="7"/>
      <c r="D69" s="7"/>
      <c r="E69" s="7"/>
      <c r="F69" s="7"/>
      <c r="G69" s="7"/>
    </row>
    <row r="70" spans="1:8" x14ac:dyDescent="0.2">
      <c r="A70" s="32" t="s">
        <v>453</v>
      </c>
      <c r="B70" s="45">
        <f>'1.Project Cost and MOF'!M20</f>
        <v>0</v>
      </c>
      <c r="E70" s="32"/>
      <c r="F70" s="32"/>
      <c r="G70" s="32"/>
    </row>
    <row r="71" spans="1:8" x14ac:dyDescent="0.2">
      <c r="A71" s="32" t="s">
        <v>454</v>
      </c>
      <c r="B71" s="64">
        <v>0.12</v>
      </c>
      <c r="E71" s="32"/>
      <c r="F71" s="32"/>
      <c r="G71" s="32"/>
    </row>
    <row r="72" spans="1:8" ht="14.45" customHeight="1" x14ac:dyDescent="0.2">
      <c r="A72" s="32" t="s">
        <v>455</v>
      </c>
      <c r="B72" s="65">
        <v>7</v>
      </c>
      <c r="E72" s="32"/>
      <c r="F72" s="32"/>
      <c r="G72" s="32"/>
    </row>
    <row r="73" spans="1:8" x14ac:dyDescent="0.2">
      <c r="A73" s="32" t="s">
        <v>456</v>
      </c>
      <c r="B73" s="65">
        <v>6</v>
      </c>
      <c r="E73" s="32"/>
      <c r="F73" s="32"/>
      <c r="G73" s="32"/>
    </row>
    <row r="74" spans="1:8" x14ac:dyDescent="0.2">
      <c r="A74" s="32" t="s">
        <v>22</v>
      </c>
      <c r="B74" s="55">
        <f>PMT(B71/12,(B72-(B73/12))*12,-B70)</f>
        <v>0</v>
      </c>
      <c r="E74" s="55"/>
      <c r="F74" s="59"/>
      <c r="G74" s="32"/>
    </row>
    <row r="75" spans="1:8" x14ac:dyDescent="0.2">
      <c r="A75" s="52" t="s">
        <v>287</v>
      </c>
      <c r="B75" s="56" t="s">
        <v>18</v>
      </c>
      <c r="C75" s="57" t="s">
        <v>19</v>
      </c>
      <c r="D75" s="57" t="s">
        <v>20</v>
      </c>
      <c r="E75" s="57" t="s">
        <v>21</v>
      </c>
      <c r="F75" s="57" t="s">
        <v>22</v>
      </c>
      <c r="G75" s="57" t="s">
        <v>23</v>
      </c>
    </row>
    <row r="76" spans="1:8" x14ac:dyDescent="0.2">
      <c r="A76" s="33" t="s">
        <v>11</v>
      </c>
      <c r="B76" s="33" t="s">
        <v>51</v>
      </c>
      <c r="C76" s="34">
        <f>B70</f>
        <v>0</v>
      </c>
      <c r="D76" s="34">
        <f>C76*$B$71/12</f>
        <v>0</v>
      </c>
      <c r="E76" s="34">
        <f t="shared" ref="E76:E81" si="15">F76-D76</f>
        <v>0</v>
      </c>
      <c r="F76" s="34">
        <f>D76</f>
        <v>0</v>
      </c>
      <c r="G76" s="34">
        <f>C76-E76</f>
        <v>0</v>
      </c>
    </row>
    <row r="77" spans="1:8" x14ac:dyDescent="0.2">
      <c r="A77" s="33"/>
      <c r="B77" s="33" t="s">
        <v>52</v>
      </c>
      <c r="C77" s="34">
        <f>G76</f>
        <v>0</v>
      </c>
      <c r="D77" s="34">
        <f t="shared" ref="D77:D140" si="16">C77*$B$71/12</f>
        <v>0</v>
      </c>
      <c r="E77" s="34">
        <f t="shared" si="15"/>
        <v>0</v>
      </c>
      <c r="F77" s="34">
        <f t="shared" ref="F77:F81" si="17">D77</f>
        <v>0</v>
      </c>
      <c r="G77" s="34">
        <f t="shared" ref="G77:G140" si="18">C77-E77</f>
        <v>0</v>
      </c>
    </row>
    <row r="78" spans="1:8" x14ac:dyDescent="0.2">
      <c r="A78" s="33"/>
      <c r="B78" s="33" t="s">
        <v>53</v>
      </c>
      <c r="C78" s="34">
        <f t="shared" ref="C78:C141" si="19">G77</f>
        <v>0</v>
      </c>
      <c r="D78" s="34">
        <f t="shared" si="16"/>
        <v>0</v>
      </c>
      <c r="E78" s="34">
        <f t="shared" si="15"/>
        <v>0</v>
      </c>
      <c r="F78" s="34">
        <f t="shared" si="17"/>
        <v>0</v>
      </c>
      <c r="G78" s="34">
        <f t="shared" si="18"/>
        <v>0</v>
      </c>
    </row>
    <row r="79" spans="1:8" x14ac:dyDescent="0.2">
      <c r="A79" s="33"/>
      <c r="B79" s="33" t="s">
        <v>54</v>
      </c>
      <c r="C79" s="34">
        <f t="shared" si="19"/>
        <v>0</v>
      </c>
      <c r="D79" s="34">
        <f t="shared" si="16"/>
        <v>0</v>
      </c>
      <c r="E79" s="34">
        <f t="shared" si="15"/>
        <v>0</v>
      </c>
      <c r="F79" s="34">
        <f t="shared" si="17"/>
        <v>0</v>
      </c>
      <c r="G79" s="34">
        <f t="shared" si="18"/>
        <v>0</v>
      </c>
    </row>
    <row r="80" spans="1:8" x14ac:dyDescent="0.2">
      <c r="A80" s="33"/>
      <c r="B80" s="33" t="s">
        <v>55</v>
      </c>
      <c r="C80" s="34">
        <f t="shared" si="19"/>
        <v>0</v>
      </c>
      <c r="D80" s="34">
        <f t="shared" si="16"/>
        <v>0</v>
      </c>
      <c r="E80" s="34">
        <f t="shared" si="15"/>
        <v>0</v>
      </c>
      <c r="F80" s="34">
        <f t="shared" si="17"/>
        <v>0</v>
      </c>
      <c r="G80" s="34">
        <f t="shared" si="18"/>
        <v>0</v>
      </c>
    </row>
    <row r="81" spans="1:7" x14ac:dyDescent="0.2">
      <c r="A81" s="33"/>
      <c r="B81" s="33" t="s">
        <v>56</v>
      </c>
      <c r="C81" s="34">
        <f t="shared" si="19"/>
        <v>0</v>
      </c>
      <c r="D81" s="34">
        <f t="shared" si="16"/>
        <v>0</v>
      </c>
      <c r="E81" s="34">
        <f t="shared" si="15"/>
        <v>0</v>
      </c>
      <c r="F81" s="34">
        <f t="shared" si="17"/>
        <v>0</v>
      </c>
      <c r="G81" s="34">
        <f t="shared" si="18"/>
        <v>0</v>
      </c>
    </row>
    <row r="82" spans="1:7" x14ac:dyDescent="0.2">
      <c r="A82" s="33"/>
      <c r="B82" s="33" t="s">
        <v>57</v>
      </c>
      <c r="C82" s="34">
        <f t="shared" si="19"/>
        <v>0</v>
      </c>
      <c r="D82" s="34">
        <f t="shared" si="16"/>
        <v>0</v>
      </c>
      <c r="E82" s="34">
        <f>F82-D82</f>
        <v>0</v>
      </c>
      <c r="F82" s="34">
        <f>$B$74</f>
        <v>0</v>
      </c>
      <c r="G82" s="34">
        <f t="shared" si="18"/>
        <v>0</v>
      </c>
    </row>
    <row r="83" spans="1:7" x14ac:dyDescent="0.2">
      <c r="A83" s="33"/>
      <c r="B83" s="33" t="s">
        <v>58</v>
      </c>
      <c r="C83" s="34">
        <f t="shared" si="19"/>
        <v>0</v>
      </c>
      <c r="D83" s="34">
        <f t="shared" si="16"/>
        <v>0</v>
      </c>
      <c r="E83" s="34">
        <f t="shared" ref="E83:E146" si="20">F83-D83</f>
        <v>0</v>
      </c>
      <c r="F83" s="34">
        <f t="shared" ref="F83:F146" si="21">$B$74</f>
        <v>0</v>
      </c>
      <c r="G83" s="34">
        <f t="shared" si="18"/>
        <v>0</v>
      </c>
    </row>
    <row r="84" spans="1:7" x14ac:dyDescent="0.2">
      <c r="A84" s="33"/>
      <c r="B84" s="33" t="s">
        <v>59</v>
      </c>
      <c r="C84" s="34">
        <f t="shared" si="19"/>
        <v>0</v>
      </c>
      <c r="D84" s="34">
        <f t="shared" si="16"/>
        <v>0</v>
      </c>
      <c r="E84" s="34">
        <f t="shared" si="20"/>
        <v>0</v>
      </c>
      <c r="F84" s="34">
        <f t="shared" si="21"/>
        <v>0</v>
      </c>
      <c r="G84" s="34">
        <f t="shared" si="18"/>
        <v>0</v>
      </c>
    </row>
    <row r="85" spans="1:7" x14ac:dyDescent="0.2">
      <c r="A85" s="33"/>
      <c r="B85" s="33" t="s">
        <v>60</v>
      </c>
      <c r="C85" s="34">
        <f t="shared" si="19"/>
        <v>0</v>
      </c>
      <c r="D85" s="34">
        <f t="shared" si="16"/>
        <v>0</v>
      </c>
      <c r="E85" s="34">
        <f t="shared" si="20"/>
        <v>0</v>
      </c>
      <c r="F85" s="34">
        <f t="shared" si="21"/>
        <v>0</v>
      </c>
      <c r="G85" s="34">
        <f t="shared" si="18"/>
        <v>0</v>
      </c>
    </row>
    <row r="86" spans="1:7" x14ac:dyDescent="0.2">
      <c r="A86" s="33"/>
      <c r="B86" s="33" t="s">
        <v>61</v>
      </c>
      <c r="C86" s="34">
        <f t="shared" si="19"/>
        <v>0</v>
      </c>
      <c r="D86" s="34">
        <f t="shared" si="16"/>
        <v>0</v>
      </c>
      <c r="E86" s="34">
        <f t="shared" si="20"/>
        <v>0</v>
      </c>
      <c r="F86" s="34">
        <f t="shared" si="21"/>
        <v>0</v>
      </c>
      <c r="G86" s="34">
        <f t="shared" si="18"/>
        <v>0</v>
      </c>
    </row>
    <row r="87" spans="1:7" x14ac:dyDescent="0.2">
      <c r="A87" s="33"/>
      <c r="B87" s="33" t="s">
        <v>62</v>
      </c>
      <c r="C87" s="34">
        <f t="shared" si="19"/>
        <v>0</v>
      </c>
      <c r="D87" s="34">
        <f t="shared" si="16"/>
        <v>0</v>
      </c>
      <c r="E87" s="34">
        <f t="shared" si="20"/>
        <v>0</v>
      </c>
      <c r="F87" s="34">
        <f t="shared" si="21"/>
        <v>0</v>
      </c>
      <c r="G87" s="34">
        <f t="shared" si="18"/>
        <v>0</v>
      </c>
    </row>
    <row r="88" spans="1:7" x14ac:dyDescent="0.2">
      <c r="A88" s="33" t="s">
        <v>12</v>
      </c>
      <c r="B88" s="33" t="s">
        <v>63</v>
      </c>
      <c r="C88" s="34">
        <f t="shared" si="19"/>
        <v>0</v>
      </c>
      <c r="D88" s="34">
        <f t="shared" si="16"/>
        <v>0</v>
      </c>
      <c r="E88" s="34">
        <f t="shared" si="20"/>
        <v>0</v>
      </c>
      <c r="F88" s="34">
        <f t="shared" si="21"/>
        <v>0</v>
      </c>
      <c r="G88" s="34">
        <f t="shared" si="18"/>
        <v>0</v>
      </c>
    </row>
    <row r="89" spans="1:7" x14ac:dyDescent="0.2">
      <c r="A89" s="33"/>
      <c r="B89" s="33" t="s">
        <v>64</v>
      </c>
      <c r="C89" s="34">
        <f t="shared" si="19"/>
        <v>0</v>
      </c>
      <c r="D89" s="34">
        <f t="shared" si="16"/>
        <v>0</v>
      </c>
      <c r="E89" s="34">
        <f t="shared" si="20"/>
        <v>0</v>
      </c>
      <c r="F89" s="34">
        <f t="shared" si="21"/>
        <v>0</v>
      </c>
      <c r="G89" s="34">
        <f t="shared" si="18"/>
        <v>0</v>
      </c>
    </row>
    <row r="90" spans="1:7" x14ac:dyDescent="0.2">
      <c r="A90" s="33"/>
      <c r="B90" s="33" t="s">
        <v>65</v>
      </c>
      <c r="C90" s="34">
        <f t="shared" si="19"/>
        <v>0</v>
      </c>
      <c r="D90" s="34">
        <f t="shared" si="16"/>
        <v>0</v>
      </c>
      <c r="E90" s="34">
        <f t="shared" si="20"/>
        <v>0</v>
      </c>
      <c r="F90" s="34">
        <f t="shared" si="21"/>
        <v>0</v>
      </c>
      <c r="G90" s="34">
        <f t="shared" si="18"/>
        <v>0</v>
      </c>
    </row>
    <row r="91" spans="1:7" x14ac:dyDescent="0.2">
      <c r="A91" s="33"/>
      <c r="B91" s="33" t="s">
        <v>66</v>
      </c>
      <c r="C91" s="34">
        <f t="shared" si="19"/>
        <v>0</v>
      </c>
      <c r="D91" s="34">
        <f t="shared" si="16"/>
        <v>0</v>
      </c>
      <c r="E91" s="34">
        <f t="shared" si="20"/>
        <v>0</v>
      </c>
      <c r="F91" s="34">
        <f t="shared" si="21"/>
        <v>0</v>
      </c>
      <c r="G91" s="34">
        <f t="shared" si="18"/>
        <v>0</v>
      </c>
    </row>
    <row r="92" spans="1:7" x14ac:dyDescent="0.2">
      <c r="A92" s="33"/>
      <c r="B92" s="33" t="s">
        <v>67</v>
      </c>
      <c r="C92" s="34">
        <f t="shared" si="19"/>
        <v>0</v>
      </c>
      <c r="D92" s="34">
        <f t="shared" si="16"/>
        <v>0</v>
      </c>
      <c r="E92" s="34">
        <f t="shared" si="20"/>
        <v>0</v>
      </c>
      <c r="F92" s="34">
        <f t="shared" si="21"/>
        <v>0</v>
      </c>
      <c r="G92" s="34">
        <f t="shared" si="18"/>
        <v>0</v>
      </c>
    </row>
    <row r="93" spans="1:7" x14ac:dyDescent="0.2">
      <c r="A93" s="33"/>
      <c r="B93" s="33" t="s">
        <v>68</v>
      </c>
      <c r="C93" s="34">
        <f t="shared" si="19"/>
        <v>0</v>
      </c>
      <c r="D93" s="34">
        <f t="shared" si="16"/>
        <v>0</v>
      </c>
      <c r="E93" s="34">
        <f t="shared" si="20"/>
        <v>0</v>
      </c>
      <c r="F93" s="34">
        <f t="shared" si="21"/>
        <v>0</v>
      </c>
      <c r="G93" s="34">
        <f t="shared" si="18"/>
        <v>0</v>
      </c>
    </row>
    <row r="94" spans="1:7" x14ac:dyDescent="0.2">
      <c r="A94" s="33"/>
      <c r="B94" s="33" t="s">
        <v>69</v>
      </c>
      <c r="C94" s="34">
        <f t="shared" si="19"/>
        <v>0</v>
      </c>
      <c r="D94" s="34">
        <f t="shared" si="16"/>
        <v>0</v>
      </c>
      <c r="E94" s="34">
        <f t="shared" si="20"/>
        <v>0</v>
      </c>
      <c r="F94" s="34">
        <f t="shared" si="21"/>
        <v>0</v>
      </c>
      <c r="G94" s="34">
        <f t="shared" si="18"/>
        <v>0</v>
      </c>
    </row>
    <row r="95" spans="1:7" x14ac:dyDescent="0.2">
      <c r="A95" s="33"/>
      <c r="B95" s="33" t="s">
        <v>70</v>
      </c>
      <c r="C95" s="34">
        <f t="shared" si="19"/>
        <v>0</v>
      </c>
      <c r="D95" s="34">
        <f t="shared" si="16"/>
        <v>0</v>
      </c>
      <c r="E95" s="34">
        <f t="shared" si="20"/>
        <v>0</v>
      </c>
      <c r="F95" s="34">
        <f t="shared" si="21"/>
        <v>0</v>
      </c>
      <c r="G95" s="34">
        <f t="shared" si="18"/>
        <v>0</v>
      </c>
    </row>
    <row r="96" spans="1:7" x14ac:dyDescent="0.2">
      <c r="A96" s="33"/>
      <c r="B96" s="33" t="s">
        <v>71</v>
      </c>
      <c r="C96" s="34">
        <f t="shared" si="19"/>
        <v>0</v>
      </c>
      <c r="D96" s="34">
        <f t="shared" si="16"/>
        <v>0</v>
      </c>
      <c r="E96" s="34">
        <f t="shared" si="20"/>
        <v>0</v>
      </c>
      <c r="F96" s="34">
        <f t="shared" si="21"/>
        <v>0</v>
      </c>
      <c r="G96" s="34">
        <f t="shared" si="18"/>
        <v>0</v>
      </c>
    </row>
    <row r="97" spans="1:7" x14ac:dyDescent="0.2">
      <c r="A97" s="33"/>
      <c r="B97" s="33" t="s">
        <v>72</v>
      </c>
      <c r="C97" s="34">
        <f t="shared" si="19"/>
        <v>0</v>
      </c>
      <c r="D97" s="34">
        <f t="shared" si="16"/>
        <v>0</v>
      </c>
      <c r="E97" s="34">
        <f t="shared" si="20"/>
        <v>0</v>
      </c>
      <c r="F97" s="34">
        <f t="shared" si="21"/>
        <v>0</v>
      </c>
      <c r="G97" s="34">
        <f t="shared" si="18"/>
        <v>0</v>
      </c>
    </row>
    <row r="98" spans="1:7" x14ac:dyDescent="0.2">
      <c r="A98" s="33"/>
      <c r="B98" s="33" t="s">
        <v>73</v>
      </c>
      <c r="C98" s="34">
        <f t="shared" si="19"/>
        <v>0</v>
      </c>
      <c r="D98" s="34">
        <f t="shared" si="16"/>
        <v>0</v>
      </c>
      <c r="E98" s="34">
        <f t="shared" si="20"/>
        <v>0</v>
      </c>
      <c r="F98" s="34">
        <f t="shared" si="21"/>
        <v>0</v>
      </c>
      <c r="G98" s="34">
        <f t="shared" si="18"/>
        <v>0</v>
      </c>
    </row>
    <row r="99" spans="1:7" x14ac:dyDescent="0.2">
      <c r="A99" s="33"/>
      <c r="B99" s="33" t="s">
        <v>74</v>
      </c>
      <c r="C99" s="34">
        <f t="shared" si="19"/>
        <v>0</v>
      </c>
      <c r="D99" s="34">
        <f t="shared" si="16"/>
        <v>0</v>
      </c>
      <c r="E99" s="34">
        <f t="shared" si="20"/>
        <v>0</v>
      </c>
      <c r="F99" s="34">
        <f t="shared" si="21"/>
        <v>0</v>
      </c>
      <c r="G99" s="34">
        <f t="shared" si="18"/>
        <v>0</v>
      </c>
    </row>
    <row r="100" spans="1:7" x14ac:dyDescent="0.2">
      <c r="A100" s="33" t="s">
        <v>13</v>
      </c>
      <c r="B100" s="33" t="s">
        <v>75</v>
      </c>
      <c r="C100" s="34">
        <f t="shared" si="19"/>
        <v>0</v>
      </c>
      <c r="D100" s="34">
        <f t="shared" si="16"/>
        <v>0</v>
      </c>
      <c r="E100" s="34">
        <f t="shared" si="20"/>
        <v>0</v>
      </c>
      <c r="F100" s="34">
        <f t="shared" si="21"/>
        <v>0</v>
      </c>
      <c r="G100" s="34">
        <f t="shared" si="18"/>
        <v>0</v>
      </c>
    </row>
    <row r="101" spans="1:7" x14ac:dyDescent="0.2">
      <c r="A101" s="33"/>
      <c r="B101" s="33" t="s">
        <v>76</v>
      </c>
      <c r="C101" s="34">
        <f t="shared" si="19"/>
        <v>0</v>
      </c>
      <c r="D101" s="34">
        <f t="shared" si="16"/>
        <v>0</v>
      </c>
      <c r="E101" s="34">
        <f t="shared" si="20"/>
        <v>0</v>
      </c>
      <c r="F101" s="34">
        <f t="shared" si="21"/>
        <v>0</v>
      </c>
      <c r="G101" s="34">
        <f t="shared" si="18"/>
        <v>0</v>
      </c>
    </row>
    <row r="102" spans="1:7" x14ac:dyDescent="0.2">
      <c r="A102" s="33"/>
      <c r="B102" s="33" t="s">
        <v>77</v>
      </c>
      <c r="C102" s="34">
        <f t="shared" si="19"/>
        <v>0</v>
      </c>
      <c r="D102" s="34">
        <f t="shared" si="16"/>
        <v>0</v>
      </c>
      <c r="E102" s="34">
        <f t="shared" si="20"/>
        <v>0</v>
      </c>
      <c r="F102" s="34">
        <f t="shared" si="21"/>
        <v>0</v>
      </c>
      <c r="G102" s="34">
        <f t="shared" si="18"/>
        <v>0</v>
      </c>
    </row>
    <row r="103" spans="1:7" x14ac:dyDescent="0.2">
      <c r="A103" s="33"/>
      <c r="B103" s="33" t="s">
        <v>78</v>
      </c>
      <c r="C103" s="34">
        <f t="shared" si="19"/>
        <v>0</v>
      </c>
      <c r="D103" s="34">
        <f t="shared" si="16"/>
        <v>0</v>
      </c>
      <c r="E103" s="34">
        <f t="shared" si="20"/>
        <v>0</v>
      </c>
      <c r="F103" s="34">
        <f t="shared" si="21"/>
        <v>0</v>
      </c>
      <c r="G103" s="34">
        <f t="shared" si="18"/>
        <v>0</v>
      </c>
    </row>
    <row r="104" spans="1:7" x14ac:dyDescent="0.2">
      <c r="A104" s="33"/>
      <c r="B104" s="33" t="s">
        <v>79</v>
      </c>
      <c r="C104" s="34">
        <f t="shared" si="19"/>
        <v>0</v>
      </c>
      <c r="D104" s="34">
        <f t="shared" si="16"/>
        <v>0</v>
      </c>
      <c r="E104" s="34">
        <f t="shared" si="20"/>
        <v>0</v>
      </c>
      <c r="F104" s="34">
        <f t="shared" si="21"/>
        <v>0</v>
      </c>
      <c r="G104" s="34">
        <f t="shared" si="18"/>
        <v>0</v>
      </c>
    </row>
    <row r="105" spans="1:7" x14ac:dyDescent="0.2">
      <c r="A105" s="33"/>
      <c r="B105" s="33" t="s">
        <v>80</v>
      </c>
      <c r="C105" s="34">
        <f t="shared" si="19"/>
        <v>0</v>
      </c>
      <c r="D105" s="34">
        <f t="shared" si="16"/>
        <v>0</v>
      </c>
      <c r="E105" s="34">
        <f t="shared" si="20"/>
        <v>0</v>
      </c>
      <c r="F105" s="34">
        <f t="shared" si="21"/>
        <v>0</v>
      </c>
      <c r="G105" s="34">
        <f t="shared" si="18"/>
        <v>0</v>
      </c>
    </row>
    <row r="106" spans="1:7" x14ac:dyDescent="0.2">
      <c r="A106" s="33"/>
      <c r="B106" s="33" t="s">
        <v>81</v>
      </c>
      <c r="C106" s="34">
        <f t="shared" si="19"/>
        <v>0</v>
      </c>
      <c r="D106" s="34">
        <f t="shared" si="16"/>
        <v>0</v>
      </c>
      <c r="E106" s="34">
        <f t="shared" si="20"/>
        <v>0</v>
      </c>
      <c r="F106" s="34">
        <f t="shared" si="21"/>
        <v>0</v>
      </c>
      <c r="G106" s="34">
        <f t="shared" si="18"/>
        <v>0</v>
      </c>
    </row>
    <row r="107" spans="1:7" x14ac:dyDescent="0.2">
      <c r="A107" s="33"/>
      <c r="B107" s="33" t="s">
        <v>82</v>
      </c>
      <c r="C107" s="34">
        <f t="shared" si="19"/>
        <v>0</v>
      </c>
      <c r="D107" s="34">
        <f t="shared" si="16"/>
        <v>0</v>
      </c>
      <c r="E107" s="34">
        <f t="shared" si="20"/>
        <v>0</v>
      </c>
      <c r="F107" s="34">
        <f t="shared" si="21"/>
        <v>0</v>
      </c>
      <c r="G107" s="34">
        <f t="shared" si="18"/>
        <v>0</v>
      </c>
    </row>
    <row r="108" spans="1:7" x14ac:dyDescent="0.2">
      <c r="A108" s="33"/>
      <c r="B108" s="33" t="s">
        <v>83</v>
      </c>
      <c r="C108" s="34">
        <f t="shared" si="19"/>
        <v>0</v>
      </c>
      <c r="D108" s="34">
        <f t="shared" si="16"/>
        <v>0</v>
      </c>
      <c r="E108" s="34">
        <f t="shared" si="20"/>
        <v>0</v>
      </c>
      <c r="F108" s="34">
        <f t="shared" si="21"/>
        <v>0</v>
      </c>
      <c r="G108" s="34">
        <f t="shared" si="18"/>
        <v>0</v>
      </c>
    </row>
    <row r="109" spans="1:7" x14ac:dyDescent="0.2">
      <c r="A109" s="33"/>
      <c r="B109" s="33" t="s">
        <v>84</v>
      </c>
      <c r="C109" s="34">
        <f t="shared" si="19"/>
        <v>0</v>
      </c>
      <c r="D109" s="34">
        <f t="shared" si="16"/>
        <v>0</v>
      </c>
      <c r="E109" s="34">
        <f t="shared" si="20"/>
        <v>0</v>
      </c>
      <c r="F109" s="34">
        <f t="shared" si="21"/>
        <v>0</v>
      </c>
      <c r="G109" s="34">
        <f t="shared" si="18"/>
        <v>0</v>
      </c>
    </row>
    <row r="110" spans="1:7" x14ac:dyDescent="0.2">
      <c r="A110" s="33"/>
      <c r="B110" s="33" t="s">
        <v>85</v>
      </c>
      <c r="C110" s="34">
        <f t="shared" si="19"/>
        <v>0</v>
      </c>
      <c r="D110" s="34">
        <f t="shared" si="16"/>
        <v>0</v>
      </c>
      <c r="E110" s="34">
        <f t="shared" si="20"/>
        <v>0</v>
      </c>
      <c r="F110" s="34">
        <f t="shared" si="21"/>
        <v>0</v>
      </c>
      <c r="G110" s="34">
        <f t="shared" si="18"/>
        <v>0</v>
      </c>
    </row>
    <row r="111" spans="1:7" x14ac:dyDescent="0.2">
      <c r="A111" s="33"/>
      <c r="B111" s="33" t="s">
        <v>86</v>
      </c>
      <c r="C111" s="34">
        <f t="shared" si="19"/>
        <v>0</v>
      </c>
      <c r="D111" s="34">
        <f t="shared" si="16"/>
        <v>0</v>
      </c>
      <c r="E111" s="34">
        <f t="shared" si="20"/>
        <v>0</v>
      </c>
      <c r="F111" s="34">
        <f t="shared" si="21"/>
        <v>0</v>
      </c>
      <c r="G111" s="34">
        <f t="shared" si="18"/>
        <v>0</v>
      </c>
    </row>
    <row r="112" spans="1:7" x14ac:dyDescent="0.2">
      <c r="A112" s="33" t="s">
        <v>14</v>
      </c>
      <c r="B112" s="33" t="s">
        <v>87</v>
      </c>
      <c r="C112" s="34">
        <f t="shared" si="19"/>
        <v>0</v>
      </c>
      <c r="D112" s="34">
        <f t="shared" si="16"/>
        <v>0</v>
      </c>
      <c r="E112" s="34">
        <f t="shared" si="20"/>
        <v>0</v>
      </c>
      <c r="F112" s="34">
        <f t="shared" si="21"/>
        <v>0</v>
      </c>
      <c r="G112" s="34">
        <f t="shared" si="18"/>
        <v>0</v>
      </c>
    </row>
    <row r="113" spans="1:7" x14ac:dyDescent="0.2">
      <c r="A113" s="33"/>
      <c r="B113" s="33" t="s">
        <v>88</v>
      </c>
      <c r="C113" s="34">
        <f t="shared" si="19"/>
        <v>0</v>
      </c>
      <c r="D113" s="34">
        <f t="shared" si="16"/>
        <v>0</v>
      </c>
      <c r="E113" s="34">
        <f t="shared" si="20"/>
        <v>0</v>
      </c>
      <c r="F113" s="34">
        <f t="shared" si="21"/>
        <v>0</v>
      </c>
      <c r="G113" s="34">
        <f t="shared" si="18"/>
        <v>0</v>
      </c>
    </row>
    <row r="114" spans="1:7" x14ac:dyDescent="0.2">
      <c r="A114" s="33"/>
      <c r="B114" s="33" t="s">
        <v>89</v>
      </c>
      <c r="C114" s="34">
        <f t="shared" si="19"/>
        <v>0</v>
      </c>
      <c r="D114" s="34">
        <f t="shared" si="16"/>
        <v>0</v>
      </c>
      <c r="E114" s="34">
        <f t="shared" si="20"/>
        <v>0</v>
      </c>
      <c r="F114" s="34">
        <f t="shared" si="21"/>
        <v>0</v>
      </c>
      <c r="G114" s="34">
        <f t="shared" si="18"/>
        <v>0</v>
      </c>
    </row>
    <row r="115" spans="1:7" x14ac:dyDescent="0.2">
      <c r="A115" s="33"/>
      <c r="B115" s="33" t="s">
        <v>90</v>
      </c>
      <c r="C115" s="34">
        <f t="shared" si="19"/>
        <v>0</v>
      </c>
      <c r="D115" s="34">
        <f t="shared" si="16"/>
        <v>0</v>
      </c>
      <c r="E115" s="34">
        <f t="shared" si="20"/>
        <v>0</v>
      </c>
      <c r="F115" s="34">
        <f t="shared" si="21"/>
        <v>0</v>
      </c>
      <c r="G115" s="34">
        <f t="shared" si="18"/>
        <v>0</v>
      </c>
    </row>
    <row r="116" spans="1:7" x14ac:dyDescent="0.2">
      <c r="A116" s="33"/>
      <c r="B116" s="33" t="s">
        <v>91</v>
      </c>
      <c r="C116" s="34">
        <f t="shared" si="19"/>
        <v>0</v>
      </c>
      <c r="D116" s="34">
        <f t="shared" si="16"/>
        <v>0</v>
      </c>
      <c r="E116" s="34">
        <f t="shared" si="20"/>
        <v>0</v>
      </c>
      <c r="F116" s="34">
        <f t="shared" si="21"/>
        <v>0</v>
      </c>
      <c r="G116" s="34">
        <f t="shared" si="18"/>
        <v>0</v>
      </c>
    </row>
    <row r="117" spans="1:7" x14ac:dyDescent="0.2">
      <c r="A117" s="33"/>
      <c r="B117" s="33" t="s">
        <v>92</v>
      </c>
      <c r="C117" s="34">
        <f t="shared" si="19"/>
        <v>0</v>
      </c>
      <c r="D117" s="34">
        <f t="shared" si="16"/>
        <v>0</v>
      </c>
      <c r="E117" s="34">
        <f t="shared" si="20"/>
        <v>0</v>
      </c>
      <c r="F117" s="34">
        <f t="shared" si="21"/>
        <v>0</v>
      </c>
      <c r="G117" s="34">
        <f t="shared" si="18"/>
        <v>0</v>
      </c>
    </row>
    <row r="118" spans="1:7" x14ac:dyDescent="0.2">
      <c r="A118" s="33"/>
      <c r="B118" s="33" t="s">
        <v>93</v>
      </c>
      <c r="C118" s="34">
        <f t="shared" si="19"/>
        <v>0</v>
      </c>
      <c r="D118" s="34">
        <f t="shared" si="16"/>
        <v>0</v>
      </c>
      <c r="E118" s="34">
        <f t="shared" si="20"/>
        <v>0</v>
      </c>
      <c r="F118" s="34">
        <f t="shared" si="21"/>
        <v>0</v>
      </c>
      <c r="G118" s="34">
        <f t="shared" si="18"/>
        <v>0</v>
      </c>
    </row>
    <row r="119" spans="1:7" x14ac:dyDescent="0.2">
      <c r="A119" s="33"/>
      <c r="B119" s="33" t="s">
        <v>94</v>
      </c>
      <c r="C119" s="34">
        <f t="shared" si="19"/>
        <v>0</v>
      </c>
      <c r="D119" s="34">
        <f t="shared" si="16"/>
        <v>0</v>
      </c>
      <c r="E119" s="34">
        <f t="shared" si="20"/>
        <v>0</v>
      </c>
      <c r="F119" s="34">
        <f t="shared" si="21"/>
        <v>0</v>
      </c>
      <c r="G119" s="34">
        <f t="shared" si="18"/>
        <v>0</v>
      </c>
    </row>
    <row r="120" spans="1:7" x14ac:dyDescent="0.2">
      <c r="A120" s="33"/>
      <c r="B120" s="33" t="s">
        <v>95</v>
      </c>
      <c r="C120" s="34">
        <f t="shared" si="19"/>
        <v>0</v>
      </c>
      <c r="D120" s="34">
        <f t="shared" si="16"/>
        <v>0</v>
      </c>
      <c r="E120" s="34">
        <f t="shared" si="20"/>
        <v>0</v>
      </c>
      <c r="F120" s="34">
        <f t="shared" si="21"/>
        <v>0</v>
      </c>
      <c r="G120" s="34">
        <f t="shared" si="18"/>
        <v>0</v>
      </c>
    </row>
    <row r="121" spans="1:7" x14ac:dyDescent="0.2">
      <c r="A121" s="33"/>
      <c r="B121" s="33" t="s">
        <v>96</v>
      </c>
      <c r="C121" s="34">
        <f t="shared" si="19"/>
        <v>0</v>
      </c>
      <c r="D121" s="34">
        <f t="shared" si="16"/>
        <v>0</v>
      </c>
      <c r="E121" s="34">
        <f t="shared" si="20"/>
        <v>0</v>
      </c>
      <c r="F121" s="34">
        <f t="shared" si="21"/>
        <v>0</v>
      </c>
      <c r="G121" s="34">
        <f t="shared" si="18"/>
        <v>0</v>
      </c>
    </row>
    <row r="122" spans="1:7" x14ac:dyDescent="0.2">
      <c r="A122" s="33"/>
      <c r="B122" s="33" t="s">
        <v>97</v>
      </c>
      <c r="C122" s="34">
        <f t="shared" si="19"/>
        <v>0</v>
      </c>
      <c r="D122" s="34">
        <f t="shared" si="16"/>
        <v>0</v>
      </c>
      <c r="E122" s="34">
        <f t="shared" si="20"/>
        <v>0</v>
      </c>
      <c r="F122" s="34">
        <f t="shared" si="21"/>
        <v>0</v>
      </c>
      <c r="G122" s="34">
        <f t="shared" si="18"/>
        <v>0</v>
      </c>
    </row>
    <row r="123" spans="1:7" x14ac:dyDescent="0.2">
      <c r="A123" s="33"/>
      <c r="B123" s="33" t="s">
        <v>98</v>
      </c>
      <c r="C123" s="34">
        <f t="shared" si="19"/>
        <v>0</v>
      </c>
      <c r="D123" s="34">
        <f t="shared" si="16"/>
        <v>0</v>
      </c>
      <c r="E123" s="34">
        <f t="shared" si="20"/>
        <v>0</v>
      </c>
      <c r="F123" s="34">
        <f t="shared" si="21"/>
        <v>0</v>
      </c>
      <c r="G123" s="34">
        <f t="shared" si="18"/>
        <v>0</v>
      </c>
    </row>
    <row r="124" spans="1:7" x14ac:dyDescent="0.2">
      <c r="A124" s="33" t="s">
        <v>15</v>
      </c>
      <c r="B124" s="33" t="s">
        <v>99</v>
      </c>
      <c r="C124" s="34">
        <f t="shared" si="19"/>
        <v>0</v>
      </c>
      <c r="D124" s="34">
        <f t="shared" si="16"/>
        <v>0</v>
      </c>
      <c r="E124" s="34">
        <f t="shared" si="20"/>
        <v>0</v>
      </c>
      <c r="F124" s="34">
        <f t="shared" si="21"/>
        <v>0</v>
      </c>
      <c r="G124" s="34">
        <f t="shared" si="18"/>
        <v>0</v>
      </c>
    </row>
    <row r="125" spans="1:7" x14ac:dyDescent="0.2">
      <c r="A125" s="33"/>
      <c r="B125" s="33" t="s">
        <v>100</v>
      </c>
      <c r="C125" s="34">
        <f t="shared" si="19"/>
        <v>0</v>
      </c>
      <c r="D125" s="34">
        <f t="shared" si="16"/>
        <v>0</v>
      </c>
      <c r="E125" s="34">
        <f t="shared" si="20"/>
        <v>0</v>
      </c>
      <c r="F125" s="34">
        <f t="shared" si="21"/>
        <v>0</v>
      </c>
      <c r="G125" s="34">
        <f t="shared" si="18"/>
        <v>0</v>
      </c>
    </row>
    <row r="126" spans="1:7" x14ac:dyDescent="0.2">
      <c r="A126" s="33"/>
      <c r="B126" s="33" t="s">
        <v>101</v>
      </c>
      <c r="C126" s="34">
        <f t="shared" si="19"/>
        <v>0</v>
      </c>
      <c r="D126" s="34">
        <f t="shared" si="16"/>
        <v>0</v>
      </c>
      <c r="E126" s="34">
        <f t="shared" si="20"/>
        <v>0</v>
      </c>
      <c r="F126" s="34">
        <f t="shared" si="21"/>
        <v>0</v>
      </c>
      <c r="G126" s="34">
        <f t="shared" si="18"/>
        <v>0</v>
      </c>
    </row>
    <row r="127" spans="1:7" x14ac:dyDescent="0.2">
      <c r="A127" s="33"/>
      <c r="B127" s="33" t="s">
        <v>102</v>
      </c>
      <c r="C127" s="34">
        <f t="shared" si="19"/>
        <v>0</v>
      </c>
      <c r="D127" s="34">
        <f t="shared" si="16"/>
        <v>0</v>
      </c>
      <c r="E127" s="34">
        <f t="shared" si="20"/>
        <v>0</v>
      </c>
      <c r="F127" s="34">
        <f t="shared" si="21"/>
        <v>0</v>
      </c>
      <c r="G127" s="34">
        <f t="shared" si="18"/>
        <v>0</v>
      </c>
    </row>
    <row r="128" spans="1:7" x14ac:dyDescent="0.2">
      <c r="A128" s="33"/>
      <c r="B128" s="33" t="s">
        <v>103</v>
      </c>
      <c r="C128" s="34">
        <f t="shared" si="19"/>
        <v>0</v>
      </c>
      <c r="D128" s="34">
        <f t="shared" si="16"/>
        <v>0</v>
      </c>
      <c r="E128" s="34">
        <f t="shared" si="20"/>
        <v>0</v>
      </c>
      <c r="F128" s="34">
        <f t="shared" si="21"/>
        <v>0</v>
      </c>
      <c r="G128" s="34">
        <f t="shared" si="18"/>
        <v>0</v>
      </c>
    </row>
    <row r="129" spans="1:7" x14ac:dyDescent="0.2">
      <c r="A129" s="33"/>
      <c r="B129" s="33" t="s">
        <v>104</v>
      </c>
      <c r="C129" s="34">
        <f t="shared" si="19"/>
        <v>0</v>
      </c>
      <c r="D129" s="34">
        <f t="shared" si="16"/>
        <v>0</v>
      </c>
      <c r="E129" s="34">
        <f t="shared" si="20"/>
        <v>0</v>
      </c>
      <c r="F129" s="34">
        <f t="shared" si="21"/>
        <v>0</v>
      </c>
      <c r="G129" s="34">
        <f t="shared" si="18"/>
        <v>0</v>
      </c>
    </row>
    <row r="130" spans="1:7" x14ac:dyDescent="0.2">
      <c r="A130" s="33"/>
      <c r="B130" s="33" t="s">
        <v>105</v>
      </c>
      <c r="C130" s="34">
        <f t="shared" si="19"/>
        <v>0</v>
      </c>
      <c r="D130" s="34">
        <f t="shared" si="16"/>
        <v>0</v>
      </c>
      <c r="E130" s="34">
        <f t="shared" si="20"/>
        <v>0</v>
      </c>
      <c r="F130" s="34">
        <f t="shared" si="21"/>
        <v>0</v>
      </c>
      <c r="G130" s="34">
        <f t="shared" si="18"/>
        <v>0</v>
      </c>
    </row>
    <row r="131" spans="1:7" x14ac:dyDescent="0.2">
      <c r="A131" s="33"/>
      <c r="B131" s="33" t="s">
        <v>106</v>
      </c>
      <c r="C131" s="34">
        <f t="shared" si="19"/>
        <v>0</v>
      </c>
      <c r="D131" s="34">
        <f t="shared" si="16"/>
        <v>0</v>
      </c>
      <c r="E131" s="34">
        <f t="shared" si="20"/>
        <v>0</v>
      </c>
      <c r="F131" s="34">
        <f t="shared" si="21"/>
        <v>0</v>
      </c>
      <c r="G131" s="34">
        <f t="shared" si="18"/>
        <v>0</v>
      </c>
    </row>
    <row r="132" spans="1:7" x14ac:dyDescent="0.2">
      <c r="A132" s="33"/>
      <c r="B132" s="33" t="s">
        <v>107</v>
      </c>
      <c r="C132" s="34">
        <f t="shared" si="19"/>
        <v>0</v>
      </c>
      <c r="D132" s="34">
        <f t="shared" si="16"/>
        <v>0</v>
      </c>
      <c r="E132" s="34">
        <f t="shared" si="20"/>
        <v>0</v>
      </c>
      <c r="F132" s="34">
        <f t="shared" si="21"/>
        <v>0</v>
      </c>
      <c r="G132" s="34">
        <f t="shared" si="18"/>
        <v>0</v>
      </c>
    </row>
    <row r="133" spans="1:7" x14ac:dyDescent="0.2">
      <c r="A133" s="33"/>
      <c r="B133" s="33" t="s">
        <v>108</v>
      </c>
      <c r="C133" s="34">
        <f t="shared" si="19"/>
        <v>0</v>
      </c>
      <c r="D133" s="34">
        <f t="shared" si="16"/>
        <v>0</v>
      </c>
      <c r="E133" s="34">
        <f t="shared" si="20"/>
        <v>0</v>
      </c>
      <c r="F133" s="34">
        <f t="shared" si="21"/>
        <v>0</v>
      </c>
      <c r="G133" s="34">
        <f t="shared" si="18"/>
        <v>0</v>
      </c>
    </row>
    <row r="134" spans="1:7" x14ac:dyDescent="0.2">
      <c r="A134" s="33"/>
      <c r="B134" s="33" t="s">
        <v>109</v>
      </c>
      <c r="C134" s="34">
        <f t="shared" si="19"/>
        <v>0</v>
      </c>
      <c r="D134" s="34">
        <f t="shared" si="16"/>
        <v>0</v>
      </c>
      <c r="E134" s="34">
        <f t="shared" si="20"/>
        <v>0</v>
      </c>
      <c r="F134" s="34">
        <f t="shared" si="21"/>
        <v>0</v>
      </c>
      <c r="G134" s="34">
        <f t="shared" si="18"/>
        <v>0</v>
      </c>
    </row>
    <row r="135" spans="1:7" x14ac:dyDescent="0.2">
      <c r="A135" s="33"/>
      <c r="B135" s="33" t="s">
        <v>110</v>
      </c>
      <c r="C135" s="34">
        <f t="shared" si="19"/>
        <v>0</v>
      </c>
      <c r="D135" s="34">
        <f t="shared" si="16"/>
        <v>0</v>
      </c>
      <c r="E135" s="34">
        <f t="shared" si="20"/>
        <v>0</v>
      </c>
      <c r="F135" s="34">
        <f t="shared" si="21"/>
        <v>0</v>
      </c>
      <c r="G135" s="34">
        <f t="shared" si="18"/>
        <v>0</v>
      </c>
    </row>
    <row r="136" spans="1:7" x14ac:dyDescent="0.2">
      <c r="A136" s="33" t="s">
        <v>16</v>
      </c>
      <c r="B136" s="33" t="s">
        <v>111</v>
      </c>
      <c r="C136" s="34">
        <f t="shared" si="19"/>
        <v>0</v>
      </c>
      <c r="D136" s="34">
        <f t="shared" si="16"/>
        <v>0</v>
      </c>
      <c r="E136" s="34">
        <f t="shared" si="20"/>
        <v>0</v>
      </c>
      <c r="F136" s="34">
        <f t="shared" si="21"/>
        <v>0</v>
      </c>
      <c r="G136" s="34">
        <f t="shared" si="18"/>
        <v>0</v>
      </c>
    </row>
    <row r="137" spans="1:7" x14ac:dyDescent="0.2">
      <c r="A137" s="33"/>
      <c r="B137" s="33" t="s">
        <v>112</v>
      </c>
      <c r="C137" s="34">
        <f t="shared" si="19"/>
        <v>0</v>
      </c>
      <c r="D137" s="34">
        <f t="shared" si="16"/>
        <v>0</v>
      </c>
      <c r="E137" s="34">
        <f t="shared" si="20"/>
        <v>0</v>
      </c>
      <c r="F137" s="34">
        <f t="shared" si="21"/>
        <v>0</v>
      </c>
      <c r="G137" s="34">
        <f t="shared" si="18"/>
        <v>0</v>
      </c>
    </row>
    <row r="138" spans="1:7" x14ac:dyDescent="0.2">
      <c r="A138" s="33"/>
      <c r="B138" s="33" t="s">
        <v>113</v>
      </c>
      <c r="C138" s="34">
        <f t="shared" si="19"/>
        <v>0</v>
      </c>
      <c r="D138" s="34">
        <f t="shared" si="16"/>
        <v>0</v>
      </c>
      <c r="E138" s="34">
        <f t="shared" si="20"/>
        <v>0</v>
      </c>
      <c r="F138" s="34">
        <f t="shared" si="21"/>
        <v>0</v>
      </c>
      <c r="G138" s="34">
        <f t="shared" si="18"/>
        <v>0</v>
      </c>
    </row>
    <row r="139" spans="1:7" x14ac:dyDescent="0.2">
      <c r="A139" s="33"/>
      <c r="B139" s="33" t="s">
        <v>114</v>
      </c>
      <c r="C139" s="34">
        <f t="shared" si="19"/>
        <v>0</v>
      </c>
      <c r="D139" s="34">
        <f t="shared" si="16"/>
        <v>0</v>
      </c>
      <c r="E139" s="34">
        <f t="shared" si="20"/>
        <v>0</v>
      </c>
      <c r="F139" s="34">
        <f t="shared" si="21"/>
        <v>0</v>
      </c>
      <c r="G139" s="34">
        <f t="shared" si="18"/>
        <v>0</v>
      </c>
    </row>
    <row r="140" spans="1:7" x14ac:dyDescent="0.2">
      <c r="A140" s="33"/>
      <c r="B140" s="33" t="s">
        <v>115</v>
      </c>
      <c r="C140" s="34">
        <f t="shared" si="19"/>
        <v>0</v>
      </c>
      <c r="D140" s="34">
        <f t="shared" si="16"/>
        <v>0</v>
      </c>
      <c r="E140" s="34">
        <f t="shared" si="20"/>
        <v>0</v>
      </c>
      <c r="F140" s="34">
        <f t="shared" si="21"/>
        <v>0</v>
      </c>
      <c r="G140" s="34">
        <f t="shared" si="18"/>
        <v>0</v>
      </c>
    </row>
    <row r="141" spans="1:7" x14ac:dyDescent="0.2">
      <c r="A141" s="33"/>
      <c r="B141" s="33" t="s">
        <v>116</v>
      </c>
      <c r="C141" s="34">
        <f t="shared" si="19"/>
        <v>0</v>
      </c>
      <c r="D141" s="34">
        <f t="shared" ref="D141:D159" si="22">C141*$B$71/12</f>
        <v>0</v>
      </c>
      <c r="E141" s="34">
        <f t="shared" si="20"/>
        <v>0</v>
      </c>
      <c r="F141" s="34">
        <f t="shared" si="21"/>
        <v>0</v>
      </c>
      <c r="G141" s="34">
        <f t="shared" ref="G141:G159" si="23">C141-E141</f>
        <v>0</v>
      </c>
    </row>
    <row r="142" spans="1:7" x14ac:dyDescent="0.2">
      <c r="A142" s="33"/>
      <c r="B142" s="33" t="s">
        <v>117</v>
      </c>
      <c r="C142" s="34">
        <f t="shared" ref="C142:C159" si="24">G141</f>
        <v>0</v>
      </c>
      <c r="D142" s="34">
        <f t="shared" si="22"/>
        <v>0</v>
      </c>
      <c r="E142" s="34">
        <f t="shared" si="20"/>
        <v>0</v>
      </c>
      <c r="F142" s="34">
        <f t="shared" si="21"/>
        <v>0</v>
      </c>
      <c r="G142" s="34">
        <f t="shared" si="23"/>
        <v>0</v>
      </c>
    </row>
    <row r="143" spans="1:7" x14ac:dyDescent="0.2">
      <c r="A143" s="33"/>
      <c r="B143" s="33" t="s">
        <v>118</v>
      </c>
      <c r="C143" s="34">
        <f t="shared" si="24"/>
        <v>0</v>
      </c>
      <c r="D143" s="34">
        <f t="shared" si="22"/>
        <v>0</v>
      </c>
      <c r="E143" s="34">
        <f t="shared" si="20"/>
        <v>0</v>
      </c>
      <c r="F143" s="34">
        <f t="shared" si="21"/>
        <v>0</v>
      </c>
      <c r="G143" s="34">
        <f t="shared" si="23"/>
        <v>0</v>
      </c>
    </row>
    <row r="144" spans="1:7" x14ac:dyDescent="0.2">
      <c r="A144" s="33"/>
      <c r="B144" s="33" t="s">
        <v>119</v>
      </c>
      <c r="C144" s="34">
        <f t="shared" si="24"/>
        <v>0</v>
      </c>
      <c r="D144" s="34">
        <f t="shared" si="22"/>
        <v>0</v>
      </c>
      <c r="E144" s="34">
        <f t="shared" si="20"/>
        <v>0</v>
      </c>
      <c r="F144" s="34">
        <f t="shared" si="21"/>
        <v>0</v>
      </c>
      <c r="G144" s="34">
        <f t="shared" si="23"/>
        <v>0</v>
      </c>
    </row>
    <row r="145" spans="1:7" x14ac:dyDescent="0.2">
      <c r="A145" s="33"/>
      <c r="B145" s="33" t="s">
        <v>120</v>
      </c>
      <c r="C145" s="34">
        <f t="shared" si="24"/>
        <v>0</v>
      </c>
      <c r="D145" s="34">
        <f t="shared" si="22"/>
        <v>0</v>
      </c>
      <c r="E145" s="34">
        <f t="shared" si="20"/>
        <v>0</v>
      </c>
      <c r="F145" s="34">
        <f t="shared" si="21"/>
        <v>0</v>
      </c>
      <c r="G145" s="34">
        <f t="shared" si="23"/>
        <v>0</v>
      </c>
    </row>
    <row r="146" spans="1:7" x14ac:dyDescent="0.2">
      <c r="A146" s="33"/>
      <c r="B146" s="33" t="s">
        <v>121</v>
      </c>
      <c r="C146" s="34">
        <f t="shared" si="24"/>
        <v>0</v>
      </c>
      <c r="D146" s="34">
        <f t="shared" si="22"/>
        <v>0</v>
      </c>
      <c r="E146" s="34">
        <f t="shared" si="20"/>
        <v>0</v>
      </c>
      <c r="F146" s="34">
        <f t="shared" si="21"/>
        <v>0</v>
      </c>
      <c r="G146" s="34">
        <f t="shared" si="23"/>
        <v>0</v>
      </c>
    </row>
    <row r="147" spans="1:7" x14ac:dyDescent="0.2">
      <c r="A147" s="33"/>
      <c r="B147" s="33" t="s">
        <v>122</v>
      </c>
      <c r="C147" s="34">
        <f t="shared" si="24"/>
        <v>0</v>
      </c>
      <c r="D147" s="34">
        <f t="shared" si="22"/>
        <v>0</v>
      </c>
      <c r="E147" s="34">
        <f t="shared" ref="E147:E159" si="25">F147-D147</f>
        <v>0</v>
      </c>
      <c r="F147" s="34">
        <f t="shared" ref="F147:F159" si="26">$B$74</f>
        <v>0</v>
      </c>
      <c r="G147" s="34">
        <f t="shared" si="23"/>
        <v>0</v>
      </c>
    </row>
    <row r="148" spans="1:7" x14ac:dyDescent="0.2">
      <c r="A148" s="33" t="s">
        <v>276</v>
      </c>
      <c r="B148" s="33" t="s">
        <v>211</v>
      </c>
      <c r="C148" s="34">
        <f t="shared" si="24"/>
        <v>0</v>
      </c>
      <c r="D148" s="34">
        <f t="shared" si="22"/>
        <v>0</v>
      </c>
      <c r="E148" s="34">
        <f t="shared" si="25"/>
        <v>0</v>
      </c>
      <c r="F148" s="34">
        <f t="shared" si="26"/>
        <v>0</v>
      </c>
      <c r="G148" s="34">
        <f t="shared" si="23"/>
        <v>0</v>
      </c>
    </row>
    <row r="149" spans="1:7" x14ac:dyDescent="0.2">
      <c r="A149" s="33"/>
      <c r="B149" s="33" t="s">
        <v>212</v>
      </c>
      <c r="C149" s="34">
        <f t="shared" si="24"/>
        <v>0</v>
      </c>
      <c r="D149" s="34">
        <f t="shared" si="22"/>
        <v>0</v>
      </c>
      <c r="E149" s="34">
        <f t="shared" si="25"/>
        <v>0</v>
      </c>
      <c r="F149" s="34">
        <f t="shared" si="26"/>
        <v>0</v>
      </c>
      <c r="G149" s="34">
        <f t="shared" si="23"/>
        <v>0</v>
      </c>
    </row>
    <row r="150" spans="1:7" x14ac:dyDescent="0.2">
      <c r="A150" s="33"/>
      <c r="B150" s="33" t="s">
        <v>213</v>
      </c>
      <c r="C150" s="34">
        <f t="shared" si="24"/>
        <v>0</v>
      </c>
      <c r="D150" s="34">
        <f t="shared" si="22"/>
        <v>0</v>
      </c>
      <c r="E150" s="34">
        <f t="shared" si="25"/>
        <v>0</v>
      </c>
      <c r="F150" s="34">
        <f t="shared" si="26"/>
        <v>0</v>
      </c>
      <c r="G150" s="34">
        <f t="shared" si="23"/>
        <v>0</v>
      </c>
    </row>
    <row r="151" spans="1:7" x14ac:dyDescent="0.2">
      <c r="A151" s="33"/>
      <c r="B151" s="33" t="s">
        <v>214</v>
      </c>
      <c r="C151" s="34">
        <f t="shared" si="24"/>
        <v>0</v>
      </c>
      <c r="D151" s="34">
        <f t="shared" si="22"/>
        <v>0</v>
      </c>
      <c r="E151" s="34">
        <f t="shared" si="25"/>
        <v>0</v>
      </c>
      <c r="F151" s="34">
        <f t="shared" si="26"/>
        <v>0</v>
      </c>
      <c r="G151" s="34">
        <f t="shared" si="23"/>
        <v>0</v>
      </c>
    </row>
    <row r="152" spans="1:7" x14ac:dyDescent="0.2">
      <c r="A152" s="33"/>
      <c r="B152" s="33" t="s">
        <v>215</v>
      </c>
      <c r="C152" s="34">
        <f t="shared" si="24"/>
        <v>0</v>
      </c>
      <c r="D152" s="34">
        <f t="shared" si="22"/>
        <v>0</v>
      </c>
      <c r="E152" s="34">
        <f t="shared" si="25"/>
        <v>0</v>
      </c>
      <c r="F152" s="34">
        <f t="shared" si="26"/>
        <v>0</v>
      </c>
      <c r="G152" s="34">
        <f t="shared" si="23"/>
        <v>0</v>
      </c>
    </row>
    <row r="153" spans="1:7" x14ac:dyDescent="0.2">
      <c r="A153" s="33"/>
      <c r="B153" s="33" t="s">
        <v>216</v>
      </c>
      <c r="C153" s="34">
        <f t="shared" si="24"/>
        <v>0</v>
      </c>
      <c r="D153" s="34">
        <f t="shared" si="22"/>
        <v>0</v>
      </c>
      <c r="E153" s="34">
        <f t="shared" si="25"/>
        <v>0</v>
      </c>
      <c r="F153" s="34">
        <f t="shared" si="26"/>
        <v>0</v>
      </c>
      <c r="G153" s="34">
        <f t="shared" si="23"/>
        <v>0</v>
      </c>
    </row>
    <row r="154" spans="1:7" x14ac:dyDescent="0.2">
      <c r="A154" s="33"/>
      <c r="B154" s="33" t="s">
        <v>217</v>
      </c>
      <c r="C154" s="34">
        <f t="shared" si="24"/>
        <v>0</v>
      </c>
      <c r="D154" s="34">
        <f t="shared" si="22"/>
        <v>0</v>
      </c>
      <c r="E154" s="34">
        <f t="shared" si="25"/>
        <v>0</v>
      </c>
      <c r="F154" s="34">
        <f t="shared" si="26"/>
        <v>0</v>
      </c>
      <c r="G154" s="34">
        <f t="shared" si="23"/>
        <v>0</v>
      </c>
    </row>
    <row r="155" spans="1:7" x14ac:dyDescent="0.2">
      <c r="A155" s="33"/>
      <c r="B155" s="33" t="s">
        <v>218</v>
      </c>
      <c r="C155" s="34">
        <f t="shared" si="24"/>
        <v>0</v>
      </c>
      <c r="D155" s="34">
        <f t="shared" si="22"/>
        <v>0</v>
      </c>
      <c r="E155" s="34">
        <f t="shared" si="25"/>
        <v>0</v>
      </c>
      <c r="F155" s="34">
        <f t="shared" si="26"/>
        <v>0</v>
      </c>
      <c r="G155" s="34">
        <f t="shared" si="23"/>
        <v>0</v>
      </c>
    </row>
    <row r="156" spans="1:7" x14ac:dyDescent="0.2">
      <c r="A156" s="33"/>
      <c r="B156" s="33" t="s">
        <v>219</v>
      </c>
      <c r="C156" s="34">
        <f t="shared" si="24"/>
        <v>0</v>
      </c>
      <c r="D156" s="34">
        <f t="shared" si="22"/>
        <v>0</v>
      </c>
      <c r="E156" s="34">
        <f t="shared" si="25"/>
        <v>0</v>
      </c>
      <c r="F156" s="34">
        <f t="shared" si="26"/>
        <v>0</v>
      </c>
      <c r="G156" s="34">
        <f t="shared" si="23"/>
        <v>0</v>
      </c>
    </row>
    <row r="157" spans="1:7" x14ac:dyDescent="0.2">
      <c r="A157" s="33"/>
      <c r="B157" s="33" t="s">
        <v>220</v>
      </c>
      <c r="C157" s="34">
        <f t="shared" si="24"/>
        <v>0</v>
      </c>
      <c r="D157" s="34">
        <f t="shared" si="22"/>
        <v>0</v>
      </c>
      <c r="E157" s="34">
        <f t="shared" si="25"/>
        <v>0</v>
      </c>
      <c r="F157" s="34">
        <f t="shared" si="26"/>
        <v>0</v>
      </c>
      <c r="G157" s="34">
        <f t="shared" si="23"/>
        <v>0</v>
      </c>
    </row>
    <row r="158" spans="1:7" x14ac:dyDescent="0.2">
      <c r="A158" s="33"/>
      <c r="B158" s="33" t="s">
        <v>221</v>
      </c>
      <c r="C158" s="34">
        <f t="shared" si="24"/>
        <v>0</v>
      </c>
      <c r="D158" s="34">
        <f t="shared" si="22"/>
        <v>0</v>
      </c>
      <c r="E158" s="34">
        <f t="shared" si="25"/>
        <v>0</v>
      </c>
      <c r="F158" s="34">
        <f t="shared" si="26"/>
        <v>0</v>
      </c>
      <c r="G158" s="34">
        <f t="shared" si="23"/>
        <v>0</v>
      </c>
    </row>
    <row r="159" spans="1:7" x14ac:dyDescent="0.2">
      <c r="A159" s="33"/>
      <c r="B159" s="33" t="s">
        <v>222</v>
      </c>
      <c r="C159" s="34">
        <f t="shared" si="24"/>
        <v>0</v>
      </c>
      <c r="D159" s="34">
        <f t="shared" si="22"/>
        <v>0</v>
      </c>
      <c r="E159" s="34">
        <f t="shared" si="25"/>
        <v>0</v>
      </c>
      <c r="F159" s="34">
        <f t="shared" si="26"/>
        <v>0</v>
      </c>
      <c r="G159" s="34">
        <f t="shared" si="23"/>
        <v>0</v>
      </c>
    </row>
    <row r="166" spans="1:9" ht="18" x14ac:dyDescent="0.2">
      <c r="A166" s="500" t="s">
        <v>556</v>
      </c>
      <c r="B166" s="500"/>
      <c r="C166" s="500"/>
      <c r="D166" s="500"/>
      <c r="E166" s="500"/>
      <c r="F166" s="500"/>
      <c r="G166" s="500"/>
      <c r="H166" s="500"/>
      <c r="I166" s="500"/>
    </row>
    <row r="167" spans="1:9" ht="16.5" x14ac:dyDescent="0.2">
      <c r="A167" s="3"/>
      <c r="B167" s="3"/>
      <c r="C167" s="3"/>
      <c r="D167" s="3"/>
      <c r="E167" s="3"/>
      <c r="F167" s="3"/>
      <c r="G167" s="3"/>
      <c r="H167" s="3"/>
      <c r="I167" s="3"/>
    </row>
    <row r="168" spans="1:9" x14ac:dyDescent="0.2">
      <c r="A168" s="25" t="s">
        <v>29</v>
      </c>
      <c r="B168" s="26" t="s">
        <v>328</v>
      </c>
      <c r="C168" s="26" t="s">
        <v>2</v>
      </c>
      <c r="D168" s="26" t="s">
        <v>3</v>
      </c>
      <c r="E168" s="26" t="s">
        <v>4</v>
      </c>
      <c r="F168" s="26" t="s">
        <v>5</v>
      </c>
      <c r="G168" s="26" t="s">
        <v>6</v>
      </c>
      <c r="H168" s="26" t="s">
        <v>168</v>
      </c>
      <c r="I168" s="26" t="s">
        <v>167</v>
      </c>
    </row>
    <row r="169" spans="1:9" x14ac:dyDescent="0.2">
      <c r="A169" s="27"/>
      <c r="B169" s="27"/>
      <c r="C169" s="27"/>
      <c r="D169" s="27"/>
      <c r="E169" s="27"/>
      <c r="F169" s="27"/>
      <c r="G169" s="27"/>
      <c r="H169" s="27"/>
      <c r="I169" s="27"/>
    </row>
    <row r="170" spans="1:9" x14ac:dyDescent="0.2">
      <c r="A170" s="27" t="s">
        <v>368</v>
      </c>
      <c r="B170" s="27"/>
      <c r="C170" s="28">
        <f>B51</f>
        <v>3099491.1791309514</v>
      </c>
      <c r="D170" s="28">
        <f t="shared" ref="D170:I170" si="27">C51</f>
        <v>3881104.9420234719</v>
      </c>
      <c r="E170" s="28">
        <f t="shared" si="27"/>
        <v>4710386.7101209937</v>
      </c>
      <c r="F170" s="28">
        <f t="shared" si="27"/>
        <v>5640549.973467188</v>
      </c>
      <c r="G170" s="28">
        <f t="shared" si="27"/>
        <v>6673733.5668472983</v>
      </c>
      <c r="H170" s="28">
        <f t="shared" si="27"/>
        <v>7874443.4259642893</v>
      </c>
      <c r="I170" s="28">
        <f t="shared" si="27"/>
        <v>9125571.535881348</v>
      </c>
    </row>
    <row r="171" spans="1:9" x14ac:dyDescent="0.2">
      <c r="A171" s="27"/>
      <c r="B171" s="27"/>
      <c r="C171" s="28"/>
      <c r="D171" s="28"/>
      <c r="E171" s="28"/>
      <c r="F171" s="28"/>
      <c r="G171" s="28"/>
      <c r="H171" s="28"/>
      <c r="I171" s="28"/>
    </row>
    <row r="172" spans="1:9" x14ac:dyDescent="0.2">
      <c r="A172" s="29" t="s">
        <v>30</v>
      </c>
      <c r="B172" s="29"/>
      <c r="C172" s="28">
        <f>B42</f>
        <v>1357557.1910339999</v>
      </c>
      <c r="D172" s="28">
        <f t="shared" ref="D172:I173" si="28">C42</f>
        <v>1357557.1910339999</v>
      </c>
      <c r="E172" s="28">
        <f t="shared" si="28"/>
        <v>1357557.1910339999</v>
      </c>
      <c r="F172" s="28">
        <f t="shared" si="28"/>
        <v>1357557.1910339999</v>
      </c>
      <c r="G172" s="28">
        <f t="shared" si="28"/>
        <v>1357557.1910339999</v>
      </c>
      <c r="H172" s="28">
        <f t="shared" si="28"/>
        <v>1357557.1910339999</v>
      </c>
      <c r="I172" s="28">
        <f t="shared" si="28"/>
        <v>1357557.1910339999</v>
      </c>
    </row>
    <row r="173" spans="1:9" x14ac:dyDescent="0.2">
      <c r="A173" s="27" t="s">
        <v>35</v>
      </c>
      <c r="B173" s="27"/>
      <c r="C173" s="28">
        <f>B43</f>
        <v>82310</v>
      </c>
      <c r="D173" s="28">
        <f t="shared" si="28"/>
        <v>82310</v>
      </c>
      <c r="E173" s="28">
        <f t="shared" si="28"/>
        <v>82310</v>
      </c>
      <c r="F173" s="28">
        <f t="shared" si="28"/>
        <v>82310</v>
      </c>
      <c r="G173" s="28">
        <f t="shared" si="28"/>
        <v>82310</v>
      </c>
      <c r="H173" s="28">
        <f t="shared" si="28"/>
        <v>0</v>
      </c>
      <c r="I173" s="28">
        <f t="shared" si="28"/>
        <v>0</v>
      </c>
    </row>
    <row r="174" spans="1:9" x14ac:dyDescent="0.2">
      <c r="A174" s="27"/>
      <c r="B174" s="27"/>
      <c r="C174" s="27"/>
      <c r="D174" s="27"/>
      <c r="E174" s="27"/>
      <c r="F174" s="27"/>
      <c r="G174" s="27"/>
      <c r="H174" s="27"/>
      <c r="I174" s="27"/>
    </row>
    <row r="175" spans="1:9" x14ac:dyDescent="0.2">
      <c r="A175" s="27" t="s">
        <v>31</v>
      </c>
      <c r="B175" s="27"/>
      <c r="C175" s="28">
        <f>SUM(C170:C173)</f>
        <v>4539358.3701649513</v>
      </c>
      <c r="D175" s="28">
        <f t="shared" ref="D175:I175" si="29">SUM(D170:D173)</f>
        <v>5320972.1330574714</v>
      </c>
      <c r="E175" s="28">
        <f t="shared" si="29"/>
        <v>6150253.9011549931</v>
      </c>
      <c r="F175" s="28">
        <f t="shared" si="29"/>
        <v>7080417.1645011883</v>
      </c>
      <c r="G175" s="28">
        <f t="shared" si="29"/>
        <v>8113600.7578812987</v>
      </c>
      <c r="H175" s="28">
        <f t="shared" si="29"/>
        <v>9232000.6169982888</v>
      </c>
      <c r="I175" s="28">
        <f t="shared" si="29"/>
        <v>10483128.726915348</v>
      </c>
    </row>
    <row r="176" spans="1:9" x14ac:dyDescent="0.2">
      <c r="A176" s="27" t="s">
        <v>337</v>
      </c>
      <c r="B176" s="30">
        <f>-'1.Project Cost and MOF'!M22</f>
        <v>0</v>
      </c>
      <c r="C176" s="28">
        <f>C175</f>
        <v>4539358.3701649513</v>
      </c>
      <c r="D176" s="28">
        <f t="shared" ref="D176:I176" si="30">D175</f>
        <v>5320972.1330574714</v>
      </c>
      <c r="E176" s="28">
        <f t="shared" si="30"/>
        <v>6150253.9011549931</v>
      </c>
      <c r="F176" s="28">
        <f t="shared" si="30"/>
        <v>7080417.1645011883</v>
      </c>
      <c r="G176" s="28">
        <f t="shared" si="30"/>
        <v>8113600.7578812987</v>
      </c>
      <c r="H176" s="28">
        <f t="shared" si="30"/>
        <v>9232000.6169982888</v>
      </c>
      <c r="I176" s="28">
        <f t="shared" si="30"/>
        <v>10483128.726915348</v>
      </c>
    </row>
    <row r="177" spans="1:9" x14ac:dyDescent="0.2">
      <c r="A177" s="27" t="s">
        <v>277</v>
      </c>
      <c r="B177" s="61" t="e">
        <f>IRR(B176:I176)</f>
        <v>#NUM!</v>
      </c>
      <c r="C177" s="28"/>
      <c r="D177" s="28"/>
      <c r="E177" s="28"/>
      <c r="F177" s="28"/>
      <c r="G177" s="28"/>
      <c r="H177" s="28"/>
      <c r="I177" s="28"/>
    </row>
    <row r="178" spans="1:9" x14ac:dyDescent="0.2">
      <c r="A178" s="27"/>
      <c r="B178" s="27"/>
      <c r="C178" s="27"/>
      <c r="D178" s="27"/>
      <c r="E178" s="27"/>
      <c r="F178" s="27"/>
      <c r="G178" s="27"/>
      <c r="H178" s="27"/>
      <c r="I178" s="27"/>
    </row>
    <row r="179" spans="1:9" ht="16.5" x14ac:dyDescent="0.2">
      <c r="A179" s="62" t="s">
        <v>395</v>
      </c>
      <c r="B179" s="62"/>
      <c r="C179" s="63" t="e">
        <f>1/(1+$B$177)</f>
        <v>#NUM!</v>
      </c>
      <c r="D179" s="63" t="e">
        <f>C179/(1+$B$177)</f>
        <v>#NUM!</v>
      </c>
      <c r="E179" s="63" t="e">
        <f>D179/(1+$B$177)</f>
        <v>#NUM!</v>
      </c>
      <c r="F179" s="63" t="e">
        <f t="shared" ref="F179:I179" si="31">E179/(1+$B$177)</f>
        <v>#NUM!</v>
      </c>
      <c r="G179" s="63" t="e">
        <f t="shared" si="31"/>
        <v>#NUM!</v>
      </c>
      <c r="H179" s="63" t="e">
        <f t="shared" si="31"/>
        <v>#NUM!</v>
      </c>
      <c r="I179" s="63" t="e">
        <f t="shared" si="31"/>
        <v>#NUM!</v>
      </c>
    </row>
    <row r="180" spans="1:9" x14ac:dyDescent="0.2">
      <c r="A180" s="27" t="s">
        <v>32</v>
      </c>
      <c r="B180" s="27"/>
      <c r="C180" s="28" t="e">
        <f t="shared" ref="C180:I180" si="32">C175*C179</f>
        <v>#NUM!</v>
      </c>
      <c r="D180" s="28" t="e">
        <f t="shared" si="32"/>
        <v>#NUM!</v>
      </c>
      <c r="E180" s="28" t="e">
        <f t="shared" si="32"/>
        <v>#NUM!</v>
      </c>
      <c r="F180" s="28" t="e">
        <f t="shared" si="32"/>
        <v>#NUM!</v>
      </c>
      <c r="G180" s="28" t="e">
        <f t="shared" si="32"/>
        <v>#NUM!</v>
      </c>
      <c r="H180" s="28" t="e">
        <f t="shared" si="32"/>
        <v>#NUM!</v>
      </c>
      <c r="I180" s="28" t="e">
        <f t="shared" si="32"/>
        <v>#NUM!</v>
      </c>
    </row>
    <row r="181" spans="1:9" x14ac:dyDescent="0.2">
      <c r="A181" s="27" t="s">
        <v>33</v>
      </c>
      <c r="B181" s="27"/>
      <c r="C181" s="501" t="e">
        <f>SUM(C180:I180)</f>
        <v>#NUM!</v>
      </c>
      <c r="D181" s="501"/>
      <c r="E181" s="501"/>
      <c r="F181" s="501"/>
      <c r="G181" s="501"/>
      <c r="H181" s="501"/>
      <c r="I181" s="501"/>
    </row>
    <row r="182" spans="1:9" x14ac:dyDescent="0.2">
      <c r="A182" s="27"/>
      <c r="B182" s="27"/>
      <c r="C182" s="28"/>
      <c r="D182" s="28"/>
      <c r="E182" s="28"/>
      <c r="F182" s="28"/>
      <c r="G182" s="28"/>
      <c r="H182" s="28"/>
      <c r="I182" s="28"/>
    </row>
    <row r="183" spans="1:9" x14ac:dyDescent="0.2">
      <c r="A183" s="83" t="s">
        <v>34</v>
      </c>
      <c r="B183" s="83"/>
      <c r="C183" s="502">
        <f>-B176</f>
        <v>0</v>
      </c>
      <c r="D183" s="502"/>
      <c r="E183" s="502"/>
      <c r="F183" s="502"/>
      <c r="G183" s="502"/>
      <c r="H183" s="502"/>
      <c r="I183" s="502"/>
    </row>
    <row r="184" spans="1:9" x14ac:dyDescent="0.2">
      <c r="E184" s="8" t="e">
        <f>C181-C183</f>
        <v>#NUM!</v>
      </c>
    </row>
    <row r="185" spans="1:9" x14ac:dyDescent="0.2">
      <c r="A185" s="474" t="s">
        <v>412</v>
      </c>
      <c r="B185" s="474"/>
      <c r="C185" s="474"/>
      <c r="D185" s="474"/>
      <c r="E185" s="474"/>
      <c r="F185" s="474"/>
      <c r="G185" s="474"/>
      <c r="H185" s="474"/>
      <c r="I185" s="474"/>
    </row>
    <row r="187" spans="1:9" ht="18" x14ac:dyDescent="0.2">
      <c r="A187" s="496" t="s">
        <v>557</v>
      </c>
      <c r="B187" s="496"/>
      <c r="C187" s="496"/>
      <c r="D187" s="496"/>
      <c r="E187" s="496"/>
      <c r="F187" s="496"/>
      <c r="G187" s="496"/>
      <c r="H187" s="496"/>
    </row>
    <row r="189" spans="1:9" x14ac:dyDescent="0.2">
      <c r="A189" s="46" t="s">
        <v>0</v>
      </c>
      <c r="B189" s="39" t="s">
        <v>2</v>
      </c>
      <c r="C189" s="39" t="s">
        <v>3</v>
      </c>
      <c r="D189" s="39" t="s">
        <v>4</v>
      </c>
      <c r="E189" s="39" t="s">
        <v>5</v>
      </c>
      <c r="F189" s="39" t="s">
        <v>6</v>
      </c>
      <c r="G189" s="39" t="s">
        <v>168</v>
      </c>
      <c r="H189" s="39" t="s">
        <v>167</v>
      </c>
    </row>
    <row r="190" spans="1:9" x14ac:dyDescent="0.2">
      <c r="A190" s="33"/>
      <c r="B190" s="33"/>
      <c r="C190" s="33"/>
      <c r="D190" s="33"/>
      <c r="E190" s="33"/>
      <c r="F190" s="33"/>
      <c r="G190" s="33"/>
      <c r="H190" s="33"/>
    </row>
    <row r="191" spans="1:9" x14ac:dyDescent="0.2">
      <c r="A191" s="33" t="s">
        <v>36</v>
      </c>
      <c r="B191" s="33"/>
      <c r="C191" s="33"/>
      <c r="D191" s="33"/>
      <c r="E191" s="33"/>
      <c r="F191" s="33"/>
      <c r="G191" s="33"/>
      <c r="H191" s="33"/>
    </row>
    <row r="192" spans="1:9" x14ac:dyDescent="0.2">
      <c r="A192" s="33"/>
      <c r="B192" s="34"/>
      <c r="C192" s="34"/>
      <c r="D192" s="34"/>
      <c r="E192" s="34"/>
      <c r="F192" s="34"/>
      <c r="G192" s="34"/>
      <c r="H192" s="34"/>
    </row>
    <row r="193" spans="1:8" x14ac:dyDescent="0.2">
      <c r="A193" s="43" t="str">
        <f>A8</f>
        <v>Faclitiy 1 - Cleaning &amp; Grading</v>
      </c>
      <c r="B193" s="34">
        <f t="shared" ref="B193:H193" si="33">B8</f>
        <v>41542200</v>
      </c>
      <c r="C193" s="34">
        <f t="shared" si="33"/>
        <v>48871431</v>
      </c>
      <c r="D193" s="34">
        <f t="shared" si="33"/>
        <v>55988500.050000012</v>
      </c>
      <c r="E193" s="34">
        <f t="shared" si="33"/>
        <v>63695097.427500024</v>
      </c>
      <c r="F193" s="34">
        <f t="shared" si="33"/>
        <v>72032383.292625025</v>
      </c>
      <c r="G193" s="34">
        <f t="shared" si="33"/>
        <v>81044160.000693798</v>
      </c>
      <c r="H193" s="34">
        <f t="shared" si="33"/>
        <v>90777033.421337873</v>
      </c>
    </row>
    <row r="194" spans="1:8" x14ac:dyDescent="0.2">
      <c r="A194" s="43" t="str">
        <f t="shared" ref="A194:H198" si="34">A9</f>
        <v>Faclitiy 2 - Processing Unit- Dal Mill</v>
      </c>
      <c r="B194" s="34">
        <f t="shared" si="34"/>
        <v>0</v>
      </c>
      <c r="C194" s="34">
        <f t="shared" si="34"/>
        <v>0</v>
      </c>
      <c r="D194" s="34">
        <f t="shared" si="34"/>
        <v>0</v>
      </c>
      <c r="E194" s="34">
        <f t="shared" si="34"/>
        <v>0</v>
      </c>
      <c r="F194" s="34">
        <f t="shared" si="34"/>
        <v>0</v>
      </c>
      <c r="G194" s="34">
        <f t="shared" si="34"/>
        <v>0</v>
      </c>
      <c r="H194" s="34">
        <f t="shared" si="34"/>
        <v>0</v>
      </c>
    </row>
    <row r="195" spans="1:8" x14ac:dyDescent="0.2">
      <c r="A195" s="43" t="str">
        <f t="shared" si="34"/>
        <v>Faclitiy 3 - Warehouse</v>
      </c>
      <c r="B195" s="34">
        <f t="shared" si="34"/>
        <v>0</v>
      </c>
      <c r="C195" s="34">
        <f t="shared" si="34"/>
        <v>0</v>
      </c>
      <c r="D195" s="34">
        <f t="shared" si="34"/>
        <v>0</v>
      </c>
      <c r="E195" s="34">
        <f t="shared" si="34"/>
        <v>0</v>
      </c>
      <c r="F195" s="34">
        <f t="shared" si="34"/>
        <v>0</v>
      </c>
      <c r="G195" s="34">
        <f t="shared" si="34"/>
        <v>0</v>
      </c>
      <c r="H195" s="34">
        <f t="shared" si="34"/>
        <v>0</v>
      </c>
    </row>
    <row r="196" spans="1:8" x14ac:dyDescent="0.2">
      <c r="A196" s="43" t="str">
        <f t="shared" si="34"/>
        <v xml:space="preserve">Faclitiy 4 - Custom Hiring </v>
      </c>
      <c r="B196" s="34">
        <f t="shared" si="34"/>
        <v>0</v>
      </c>
      <c r="C196" s="34">
        <f t="shared" si="34"/>
        <v>0</v>
      </c>
      <c r="D196" s="34">
        <f t="shared" si="34"/>
        <v>0</v>
      </c>
      <c r="E196" s="34">
        <f t="shared" si="34"/>
        <v>0</v>
      </c>
      <c r="F196" s="34">
        <f t="shared" si="34"/>
        <v>0</v>
      </c>
      <c r="G196" s="34">
        <f t="shared" si="34"/>
        <v>0</v>
      </c>
      <c r="H196" s="34">
        <f t="shared" si="34"/>
        <v>0</v>
      </c>
    </row>
    <row r="197" spans="1:8" x14ac:dyDescent="0.2">
      <c r="A197" s="43" t="str">
        <f t="shared" si="34"/>
        <v>Faclitiy 5 - Agri Input Centre</v>
      </c>
      <c r="B197" s="34">
        <f t="shared" si="34"/>
        <v>0</v>
      </c>
      <c r="C197" s="34">
        <f t="shared" si="34"/>
        <v>0</v>
      </c>
      <c r="D197" s="34">
        <f t="shared" si="34"/>
        <v>0</v>
      </c>
      <c r="E197" s="34">
        <f t="shared" si="34"/>
        <v>0</v>
      </c>
      <c r="F197" s="34">
        <f t="shared" si="34"/>
        <v>0</v>
      </c>
      <c r="G197" s="34">
        <f t="shared" si="34"/>
        <v>0</v>
      </c>
      <c r="H197" s="34">
        <f t="shared" si="34"/>
        <v>0</v>
      </c>
    </row>
    <row r="198" spans="1:8" x14ac:dyDescent="0.2">
      <c r="A198" s="43" t="str">
        <f t="shared" si="34"/>
        <v>Facility 6 - Processing Unit - Horti Commodity</v>
      </c>
      <c r="B198" s="34">
        <f t="shared" si="34"/>
        <v>0</v>
      </c>
      <c r="C198" s="34">
        <f t="shared" si="34"/>
        <v>0</v>
      </c>
      <c r="D198" s="34">
        <f t="shared" si="34"/>
        <v>0</v>
      </c>
      <c r="E198" s="34">
        <f t="shared" si="34"/>
        <v>0</v>
      </c>
      <c r="F198" s="34">
        <f t="shared" si="34"/>
        <v>0</v>
      </c>
      <c r="G198" s="34">
        <f t="shared" si="34"/>
        <v>0</v>
      </c>
      <c r="H198" s="34">
        <f t="shared" si="34"/>
        <v>0</v>
      </c>
    </row>
    <row r="199" spans="1:8" x14ac:dyDescent="0.2">
      <c r="A199" s="43"/>
      <c r="B199" s="43"/>
      <c r="C199" s="43"/>
      <c r="D199" s="43"/>
      <c r="E199" s="43"/>
      <c r="F199" s="43"/>
      <c r="G199" s="43"/>
      <c r="H199" s="43"/>
    </row>
    <row r="200" spans="1:8" x14ac:dyDescent="0.2">
      <c r="A200" s="35" t="s">
        <v>8</v>
      </c>
      <c r="B200" s="48">
        <f>SUM(B193:B199)</f>
        <v>41542200</v>
      </c>
      <c r="C200" s="48">
        <f t="shared" ref="C200:H200" si="35">SUM(C193:C199)</f>
        <v>48871431</v>
      </c>
      <c r="D200" s="48">
        <f t="shared" si="35"/>
        <v>55988500.050000012</v>
      </c>
      <c r="E200" s="48">
        <f t="shared" si="35"/>
        <v>63695097.427500024</v>
      </c>
      <c r="F200" s="48">
        <f t="shared" si="35"/>
        <v>72032383.292625025</v>
      </c>
      <c r="G200" s="48">
        <f t="shared" si="35"/>
        <v>81044160.000693798</v>
      </c>
      <c r="H200" s="48">
        <f t="shared" si="35"/>
        <v>90777033.421337873</v>
      </c>
    </row>
    <row r="201" spans="1:8" x14ac:dyDescent="0.2">
      <c r="A201" s="33"/>
      <c r="B201" s="34"/>
      <c r="C201" s="34"/>
      <c r="D201" s="34"/>
      <c r="E201" s="34"/>
      <c r="F201" s="34"/>
      <c r="G201" s="34"/>
      <c r="H201" s="34"/>
    </row>
    <row r="202" spans="1:8" x14ac:dyDescent="0.2">
      <c r="A202" s="33" t="s">
        <v>37</v>
      </c>
      <c r="B202" s="34">
        <f>B25</f>
        <v>33119501.848999996</v>
      </c>
      <c r="C202" s="34">
        <f t="shared" ref="C202:H202" si="36">C25</f>
        <v>38868731.186449997</v>
      </c>
      <c r="D202" s="34">
        <f t="shared" si="36"/>
        <v>44470122.847972512</v>
      </c>
      <c r="E202" s="34">
        <f t="shared" si="36"/>
        <v>50534481.847681142</v>
      </c>
      <c r="F202" s="34">
        <f t="shared" si="36"/>
        <v>57094101.440240718</v>
      </c>
      <c r="G202" s="34">
        <f t="shared" si="36"/>
        <v>64183346.787437022</v>
      </c>
      <c r="H202" s="34">
        <f t="shared" si="36"/>
        <v>71838781.415752381</v>
      </c>
    </row>
    <row r="203" spans="1:8" x14ac:dyDescent="0.2">
      <c r="A203" s="33"/>
      <c r="B203" s="34"/>
      <c r="C203" s="34"/>
      <c r="D203" s="34"/>
      <c r="E203" s="34"/>
      <c r="F203" s="34"/>
      <c r="G203" s="34"/>
      <c r="H203" s="34"/>
    </row>
    <row r="204" spans="1:8" x14ac:dyDescent="0.2">
      <c r="A204" s="35" t="s">
        <v>38</v>
      </c>
      <c r="B204" s="48">
        <f>B200-B202</f>
        <v>8422698.1510000043</v>
      </c>
      <c r="C204" s="48">
        <f t="shared" ref="C204:H204" si="37">C200-C202</f>
        <v>10002699.813550003</v>
      </c>
      <c r="D204" s="48">
        <f t="shared" si="37"/>
        <v>11518377.2020275</v>
      </c>
      <c r="E204" s="48">
        <f t="shared" si="37"/>
        <v>13160615.579818882</v>
      </c>
      <c r="F204" s="48">
        <f t="shared" si="37"/>
        <v>14938281.852384306</v>
      </c>
      <c r="G204" s="48">
        <f t="shared" si="37"/>
        <v>16860813.213256776</v>
      </c>
      <c r="H204" s="48">
        <f t="shared" si="37"/>
        <v>18938252.005585492</v>
      </c>
    </row>
    <row r="205" spans="1:8" x14ac:dyDescent="0.2">
      <c r="A205" s="33"/>
      <c r="B205" s="34"/>
      <c r="C205" s="34"/>
      <c r="D205" s="34"/>
      <c r="E205" s="34"/>
      <c r="F205" s="34"/>
      <c r="G205" s="34"/>
      <c r="H205" s="34"/>
    </row>
    <row r="206" spans="1:8" x14ac:dyDescent="0.2">
      <c r="A206" s="35" t="s">
        <v>40</v>
      </c>
      <c r="B206" s="48">
        <f>B36+B42+B43</f>
        <v>4743867.1910340004</v>
      </c>
      <c r="C206" s="48">
        <f t="shared" ref="C206:H206" si="38">C36+C42+C43</f>
        <v>4909067.1910340004</v>
      </c>
      <c r="D206" s="48">
        <f t="shared" si="38"/>
        <v>5082527.1910340004</v>
      </c>
      <c r="E206" s="48">
        <f t="shared" si="38"/>
        <v>5264660.1910340004</v>
      </c>
      <c r="F206" s="48">
        <f t="shared" si="38"/>
        <v>5455899.8410340007</v>
      </c>
      <c r="G206" s="48">
        <f t="shared" si="38"/>
        <v>5574391.473534001</v>
      </c>
      <c r="H206" s="48">
        <f t="shared" si="38"/>
        <v>5785233.187659001</v>
      </c>
    </row>
    <row r="207" spans="1:8" x14ac:dyDescent="0.2">
      <c r="A207" s="33"/>
      <c r="B207" s="33"/>
      <c r="C207" s="33"/>
      <c r="D207" s="33"/>
      <c r="E207" s="33"/>
      <c r="F207" s="33"/>
      <c r="G207" s="33"/>
      <c r="H207" s="33"/>
    </row>
    <row r="208" spans="1:8" x14ac:dyDescent="0.2">
      <c r="A208" s="33" t="s">
        <v>39</v>
      </c>
      <c r="B208" s="47">
        <f>B206/B204</f>
        <v>0.56322417187309193</v>
      </c>
      <c r="C208" s="47">
        <f>C206/C204</f>
        <v>0.49077421921469727</v>
      </c>
      <c r="D208" s="47">
        <f>D206/D204</f>
        <v>0.44125375492472657</v>
      </c>
      <c r="E208" s="47">
        <f>E206/E204</f>
        <v>0.40003145438782378</v>
      </c>
      <c r="F208" s="47">
        <f>F206/F204</f>
        <v>0.36522940823768041</v>
      </c>
      <c r="G208" s="47">
        <f t="shared" ref="G208:H208" si="39">G206/G204</f>
        <v>0.33061225476071038</v>
      </c>
      <c r="H208" s="47">
        <f t="shared" si="39"/>
        <v>0.30547873087509619</v>
      </c>
    </row>
    <row r="209" spans="1:9" x14ac:dyDescent="0.2">
      <c r="A209" s="32"/>
      <c r="B209" s="32"/>
      <c r="C209" s="32"/>
      <c r="D209" s="32"/>
      <c r="E209" s="32"/>
      <c r="F209" s="32"/>
      <c r="G209" s="32"/>
      <c r="H209" s="32"/>
    </row>
    <row r="210" spans="1:9" x14ac:dyDescent="0.2">
      <c r="A210" s="49" t="s">
        <v>133</v>
      </c>
      <c r="B210" s="50">
        <f>AVERAGE(B208:H208)</f>
        <v>0.41380057061054665</v>
      </c>
      <c r="C210" s="32"/>
      <c r="D210" s="32"/>
      <c r="E210" s="32"/>
      <c r="F210" s="32"/>
      <c r="G210" s="32"/>
      <c r="H210" s="32"/>
    </row>
    <row r="212" spans="1:9" x14ac:dyDescent="0.2">
      <c r="A212" s="475" t="s">
        <v>413</v>
      </c>
      <c r="B212" s="475"/>
      <c r="C212" s="475"/>
      <c r="D212" s="475"/>
      <c r="E212" s="475"/>
      <c r="F212" s="475"/>
      <c r="G212" s="475"/>
      <c r="H212" s="475"/>
      <c r="I212" s="475"/>
    </row>
    <row r="215" spans="1:9" ht="18" x14ac:dyDescent="0.2">
      <c r="A215" s="496" t="s">
        <v>558</v>
      </c>
      <c r="B215" s="496"/>
      <c r="C215" s="496"/>
      <c r="D215" s="496"/>
      <c r="E215" s="496"/>
      <c r="F215" s="496"/>
      <c r="G215" s="496"/>
      <c r="H215" s="496"/>
    </row>
    <row r="217" spans="1:9" x14ac:dyDescent="0.2">
      <c r="A217" s="23" t="s">
        <v>29</v>
      </c>
      <c r="B217" s="24" t="s">
        <v>2</v>
      </c>
      <c r="C217" s="24" t="s">
        <v>3</v>
      </c>
      <c r="D217" s="24" t="s">
        <v>4</v>
      </c>
      <c r="E217" s="24" t="s">
        <v>5</v>
      </c>
      <c r="F217" s="24" t="s">
        <v>6</v>
      </c>
      <c r="G217" s="24" t="s">
        <v>168</v>
      </c>
      <c r="H217" s="24" t="s">
        <v>167</v>
      </c>
    </row>
    <row r="218" spans="1:9" x14ac:dyDescent="0.2">
      <c r="A218" s="33"/>
      <c r="B218" s="33"/>
      <c r="C218" s="33"/>
      <c r="D218" s="33"/>
      <c r="E218" s="33"/>
      <c r="F218" s="33"/>
      <c r="G218" s="33"/>
      <c r="H218" s="33"/>
    </row>
    <row r="219" spans="1:9" x14ac:dyDescent="0.2">
      <c r="A219" s="33" t="s">
        <v>368</v>
      </c>
      <c r="B219" s="68">
        <f>B51</f>
        <v>3099491.1791309514</v>
      </c>
      <c r="C219" s="68">
        <f t="shared" ref="C219:H219" si="40">C51</f>
        <v>3881104.9420234719</v>
      </c>
      <c r="D219" s="68">
        <f t="shared" si="40"/>
        <v>4710386.7101209937</v>
      </c>
      <c r="E219" s="68">
        <f t="shared" si="40"/>
        <v>5640549.973467188</v>
      </c>
      <c r="F219" s="68">
        <f t="shared" si="40"/>
        <v>6673733.5668472983</v>
      </c>
      <c r="G219" s="68">
        <f t="shared" si="40"/>
        <v>7874443.4259642893</v>
      </c>
      <c r="H219" s="68">
        <f t="shared" si="40"/>
        <v>9125571.535881348</v>
      </c>
    </row>
    <row r="220" spans="1:9" x14ac:dyDescent="0.2">
      <c r="A220" s="33"/>
      <c r="B220" s="68"/>
      <c r="C220" s="68"/>
      <c r="D220" s="68"/>
      <c r="E220" s="68"/>
      <c r="F220" s="68"/>
      <c r="G220" s="68"/>
      <c r="H220" s="68"/>
    </row>
    <row r="221" spans="1:9" x14ac:dyDescent="0.2">
      <c r="A221" s="33" t="s">
        <v>41</v>
      </c>
      <c r="B221" s="68">
        <f>B42</f>
        <v>1357557.1910339999</v>
      </c>
      <c r="C221" s="68">
        <f t="shared" ref="C221:H222" si="41">C42</f>
        <v>1357557.1910339999</v>
      </c>
      <c r="D221" s="68">
        <f t="shared" si="41"/>
        <v>1357557.1910339999</v>
      </c>
      <c r="E221" s="68">
        <f t="shared" si="41"/>
        <v>1357557.1910339999</v>
      </c>
      <c r="F221" s="68">
        <f t="shared" si="41"/>
        <v>1357557.1910339999</v>
      </c>
      <c r="G221" s="68">
        <f t="shared" si="41"/>
        <v>1357557.1910339999</v>
      </c>
      <c r="H221" s="68">
        <f t="shared" si="41"/>
        <v>1357557.1910339999</v>
      </c>
    </row>
    <row r="222" spans="1:9" x14ac:dyDescent="0.2">
      <c r="A222" s="42" t="s">
        <v>47</v>
      </c>
      <c r="B222" s="68">
        <f>B43</f>
        <v>82310</v>
      </c>
      <c r="C222" s="68">
        <f t="shared" si="41"/>
        <v>82310</v>
      </c>
      <c r="D222" s="68">
        <f t="shared" si="41"/>
        <v>82310</v>
      </c>
      <c r="E222" s="68">
        <f t="shared" si="41"/>
        <v>82310</v>
      </c>
      <c r="F222" s="68">
        <f t="shared" si="41"/>
        <v>82310</v>
      </c>
      <c r="G222" s="68">
        <f t="shared" si="41"/>
        <v>0</v>
      </c>
      <c r="H222" s="68">
        <f t="shared" si="41"/>
        <v>0</v>
      </c>
    </row>
    <row r="223" spans="1:9" x14ac:dyDescent="0.2">
      <c r="A223" s="33"/>
      <c r="B223" s="68"/>
      <c r="C223" s="68"/>
      <c r="D223" s="68"/>
      <c r="E223" s="68"/>
      <c r="F223" s="68"/>
      <c r="G223" s="68"/>
      <c r="H223" s="68"/>
    </row>
    <row r="224" spans="1:9" x14ac:dyDescent="0.2">
      <c r="A224" s="33" t="s">
        <v>31</v>
      </c>
      <c r="B224" s="68">
        <f>SUM(B219:B222)</f>
        <v>4539358.3701649513</v>
      </c>
      <c r="C224" s="68">
        <f t="shared" ref="C224:H224" si="42">SUM(C219:C222)</f>
        <v>5320972.1330574714</v>
      </c>
      <c r="D224" s="68">
        <f t="shared" si="42"/>
        <v>6150253.9011549931</v>
      </c>
      <c r="E224" s="68">
        <f t="shared" si="42"/>
        <v>7080417.1645011883</v>
      </c>
      <c r="F224" s="68">
        <f t="shared" si="42"/>
        <v>8113600.7578812987</v>
      </c>
      <c r="G224" s="68">
        <f t="shared" si="42"/>
        <v>9232000.6169982888</v>
      </c>
      <c r="H224" s="68">
        <f t="shared" si="42"/>
        <v>10483128.726915348</v>
      </c>
    </row>
    <row r="225" spans="1:9" x14ac:dyDescent="0.2">
      <c r="A225" s="33"/>
      <c r="B225" s="33"/>
      <c r="C225" s="33"/>
      <c r="D225" s="33"/>
      <c r="E225" s="33"/>
      <c r="F225" s="33"/>
      <c r="G225" s="33"/>
      <c r="H225" s="33"/>
    </row>
    <row r="226" spans="1:9" ht="16.5" x14ac:dyDescent="0.2">
      <c r="A226" s="5" t="s">
        <v>42</v>
      </c>
      <c r="B226" s="43">
        <f>1/1.1</f>
        <v>0.90909090909090906</v>
      </c>
      <c r="C226" s="43">
        <f t="shared" ref="C226:H226" si="43">B226/1.1</f>
        <v>0.82644628099173545</v>
      </c>
      <c r="D226" s="43">
        <f t="shared" si="43"/>
        <v>0.75131480090157765</v>
      </c>
      <c r="E226" s="43">
        <f t="shared" si="43"/>
        <v>0.68301345536507052</v>
      </c>
      <c r="F226" s="43">
        <f t="shared" si="43"/>
        <v>0.62092132305915493</v>
      </c>
      <c r="G226" s="43">
        <f t="shared" si="43"/>
        <v>0.56447393005377711</v>
      </c>
      <c r="H226" s="43">
        <f t="shared" si="43"/>
        <v>0.51315811823070645</v>
      </c>
    </row>
    <row r="227" spans="1:9" x14ac:dyDescent="0.2">
      <c r="A227" s="33"/>
      <c r="B227" s="33"/>
      <c r="C227" s="33"/>
      <c r="D227" s="33"/>
      <c r="E227" s="33"/>
      <c r="F227" s="33"/>
      <c r="G227" s="33"/>
      <c r="H227" s="33"/>
    </row>
    <row r="228" spans="1:9" ht="16.5" x14ac:dyDescent="0.2">
      <c r="A228" s="5" t="s">
        <v>43</v>
      </c>
      <c r="B228" s="34">
        <f>B224*B226</f>
        <v>4126689.4274226828</v>
      </c>
      <c r="C228" s="34">
        <f t="shared" ref="C228:H228" si="44">C224*C226</f>
        <v>4397497.6306260088</v>
      </c>
      <c r="D228" s="34">
        <f t="shared" si="44"/>
        <v>4620776.7852404146</v>
      </c>
      <c r="E228" s="34">
        <f t="shared" si="44"/>
        <v>4836020.1929521114</v>
      </c>
      <c r="F228" s="34">
        <f t="shared" si="44"/>
        <v>5037907.7173574185</v>
      </c>
      <c r="G228" s="34">
        <f t="shared" si="44"/>
        <v>5211223.6705359193</v>
      </c>
      <c r="H228" s="34">
        <f t="shared" si="44"/>
        <v>5379502.6106741419</v>
      </c>
    </row>
    <row r="229" spans="1:9" x14ac:dyDescent="0.2">
      <c r="A229" s="32"/>
      <c r="B229" s="45"/>
      <c r="C229" s="45"/>
      <c r="D229" s="45"/>
      <c r="E229" s="45"/>
      <c r="F229" s="45"/>
      <c r="G229" s="45"/>
      <c r="H229" s="45"/>
    </row>
    <row r="230" spans="1:9" ht="16.5" x14ac:dyDescent="0.2">
      <c r="A230" s="6" t="s">
        <v>44</v>
      </c>
      <c r="B230" s="45">
        <f>SUM(B228:H228)</f>
        <v>33609618.034808695</v>
      </c>
      <c r="C230" s="45"/>
      <c r="D230" s="45"/>
      <c r="E230" s="45"/>
      <c r="F230" s="45"/>
      <c r="G230" s="45"/>
      <c r="H230" s="45"/>
    </row>
    <row r="231" spans="1:9" x14ac:dyDescent="0.2">
      <c r="A231" s="32"/>
      <c r="B231" s="45"/>
      <c r="C231" s="45"/>
      <c r="D231" s="45"/>
      <c r="E231" s="45"/>
      <c r="F231" s="45"/>
      <c r="G231" s="45"/>
      <c r="H231" s="45"/>
    </row>
    <row r="232" spans="1:9" ht="16.5" x14ac:dyDescent="0.2">
      <c r="A232" s="6" t="s">
        <v>45</v>
      </c>
      <c r="B232" s="45">
        <f>-B176</f>
        <v>0</v>
      </c>
      <c r="C232" s="45"/>
      <c r="D232" s="45"/>
      <c r="E232" s="45"/>
      <c r="F232" s="45"/>
      <c r="G232" s="45"/>
      <c r="H232" s="45"/>
    </row>
    <row r="233" spans="1:9" x14ac:dyDescent="0.2">
      <c r="A233" s="32"/>
      <c r="B233" s="44"/>
      <c r="C233" s="32"/>
      <c r="D233" s="32"/>
      <c r="E233" s="32"/>
      <c r="F233" s="32"/>
      <c r="G233" s="32"/>
      <c r="H233" s="32"/>
    </row>
    <row r="234" spans="1:9" ht="16.5" x14ac:dyDescent="0.2">
      <c r="A234" s="6" t="s">
        <v>46</v>
      </c>
      <c r="B234" s="44">
        <f>B230-B232</f>
        <v>33609618.034808695</v>
      </c>
      <c r="C234" s="32"/>
      <c r="D234" s="32"/>
      <c r="E234" s="32"/>
      <c r="F234" s="32"/>
      <c r="G234" s="32"/>
      <c r="H234" s="32"/>
    </row>
    <row r="236" spans="1:9" x14ac:dyDescent="0.2">
      <c r="A236" s="449" t="s">
        <v>414</v>
      </c>
      <c r="B236" s="449"/>
      <c r="C236" s="449"/>
      <c r="D236" s="449"/>
      <c r="E236" s="449"/>
      <c r="F236" s="449"/>
      <c r="G236" s="449"/>
      <c r="H236" s="449"/>
      <c r="I236" s="449"/>
    </row>
    <row r="237" spans="1:9" ht="18" x14ac:dyDescent="0.2">
      <c r="A237" s="496" t="s">
        <v>559</v>
      </c>
      <c r="B237" s="496"/>
      <c r="C237" s="496"/>
      <c r="D237" s="496"/>
      <c r="E237" s="496"/>
      <c r="F237" s="496"/>
      <c r="G237" s="496"/>
      <c r="H237" s="496"/>
    </row>
    <row r="238" spans="1:9" x14ac:dyDescent="0.2">
      <c r="A238" s="32"/>
      <c r="B238" s="32"/>
      <c r="C238" s="32"/>
      <c r="D238" s="32"/>
      <c r="E238" s="32"/>
      <c r="F238" s="32"/>
      <c r="G238" s="32"/>
      <c r="H238" s="32"/>
    </row>
    <row r="239" spans="1:9" x14ac:dyDescent="0.2">
      <c r="A239" s="22" t="s">
        <v>0</v>
      </c>
      <c r="B239" s="22" t="s">
        <v>2</v>
      </c>
      <c r="C239" s="22" t="s">
        <v>3</v>
      </c>
      <c r="D239" s="22" t="s">
        <v>4</v>
      </c>
      <c r="E239" s="22" t="s">
        <v>5</v>
      </c>
      <c r="F239" s="22" t="s">
        <v>6</v>
      </c>
      <c r="G239" s="22" t="s">
        <v>168</v>
      </c>
      <c r="H239" s="22" t="s">
        <v>167</v>
      </c>
    </row>
    <row r="240" spans="1:9" x14ac:dyDescent="0.2">
      <c r="A240" s="20"/>
      <c r="B240" s="84"/>
      <c r="C240" s="84"/>
      <c r="D240" s="84"/>
      <c r="E240" s="84"/>
      <c r="F240" s="84"/>
      <c r="G240" s="84"/>
      <c r="H240" s="84"/>
    </row>
    <row r="241" spans="1:9" x14ac:dyDescent="0.2">
      <c r="A241" s="35" t="s">
        <v>27</v>
      </c>
      <c r="B241" s="34">
        <f>B51</f>
        <v>3099491.1791309514</v>
      </c>
      <c r="C241" s="34">
        <f t="shared" ref="C241:H241" si="45">C51</f>
        <v>3881104.9420234719</v>
      </c>
      <c r="D241" s="34">
        <f t="shared" si="45"/>
        <v>4710386.7101209937</v>
      </c>
      <c r="E241" s="34">
        <f t="shared" si="45"/>
        <v>5640549.973467188</v>
      </c>
      <c r="F241" s="34">
        <f t="shared" si="45"/>
        <v>6673733.5668472983</v>
      </c>
      <c r="G241" s="34">
        <f t="shared" si="45"/>
        <v>7874443.4259642893</v>
      </c>
      <c r="H241" s="34">
        <f t="shared" si="45"/>
        <v>9125571.535881348</v>
      </c>
    </row>
    <row r="242" spans="1:9" x14ac:dyDescent="0.2">
      <c r="A242" s="33"/>
      <c r="B242" s="33"/>
      <c r="C242" s="33"/>
      <c r="D242" s="33"/>
      <c r="E242" s="33"/>
      <c r="F242" s="33"/>
      <c r="G242" s="33"/>
      <c r="H242" s="33"/>
    </row>
    <row r="243" spans="1:9" x14ac:dyDescent="0.2">
      <c r="A243" s="35" t="s">
        <v>123</v>
      </c>
      <c r="B243" s="503">
        <f>AVERAGE(B241:H241)</f>
        <v>5857897.3333479334</v>
      </c>
      <c r="C243" s="503"/>
      <c r="D243" s="503"/>
      <c r="E243" s="503"/>
      <c r="F243" s="503"/>
      <c r="G243" s="503"/>
      <c r="H243" s="503"/>
    </row>
    <row r="244" spans="1:9" x14ac:dyDescent="0.2">
      <c r="A244" s="35" t="s">
        <v>124</v>
      </c>
      <c r="B244" s="503">
        <f>B232</f>
        <v>0</v>
      </c>
      <c r="C244" s="503"/>
      <c r="D244" s="503"/>
      <c r="E244" s="503"/>
      <c r="F244" s="503"/>
      <c r="G244" s="503"/>
      <c r="H244" s="503"/>
    </row>
    <row r="245" spans="1:9" x14ac:dyDescent="0.2">
      <c r="A245" s="33"/>
      <c r="B245" s="33"/>
      <c r="C245" s="33"/>
      <c r="D245" s="33"/>
      <c r="E245" s="33"/>
      <c r="F245" s="33"/>
      <c r="G245" s="33"/>
      <c r="H245" s="33"/>
    </row>
    <row r="246" spans="1:9" x14ac:dyDescent="0.2">
      <c r="A246" s="60" t="s">
        <v>125</v>
      </c>
      <c r="B246" s="504" t="e">
        <f>B243/B244</f>
        <v>#DIV/0!</v>
      </c>
      <c r="C246" s="504"/>
      <c r="D246" s="504"/>
      <c r="E246" s="504"/>
      <c r="F246" s="504"/>
      <c r="G246" s="504"/>
      <c r="H246" s="504"/>
    </row>
    <row r="249" spans="1:9" x14ac:dyDescent="0.2">
      <c r="A249" s="471" t="s">
        <v>415</v>
      </c>
      <c r="B249" s="471"/>
      <c r="C249" s="471"/>
      <c r="D249" s="471"/>
      <c r="E249" s="471"/>
      <c r="F249" s="471"/>
      <c r="G249" s="471"/>
      <c r="H249" s="471"/>
    </row>
    <row r="251" spans="1:9" ht="18" x14ac:dyDescent="0.2">
      <c r="A251" s="496" t="s">
        <v>560</v>
      </c>
      <c r="B251" s="496"/>
      <c r="C251" s="496"/>
      <c r="D251" s="496"/>
      <c r="E251" s="496"/>
      <c r="F251" s="496"/>
      <c r="G251" s="496"/>
      <c r="H251" s="496"/>
      <c r="I251" s="496"/>
    </row>
    <row r="253" spans="1:9" x14ac:dyDescent="0.2">
      <c r="A253" s="39" t="s">
        <v>0</v>
      </c>
      <c r="B253" s="39" t="s">
        <v>328</v>
      </c>
      <c r="C253" s="39" t="s">
        <v>2</v>
      </c>
      <c r="D253" s="39" t="s">
        <v>3</v>
      </c>
      <c r="E253" s="39" t="s">
        <v>4</v>
      </c>
      <c r="F253" s="39" t="s">
        <v>5</v>
      </c>
      <c r="G253" s="39" t="s">
        <v>6</v>
      </c>
      <c r="H253" s="39" t="s">
        <v>168</v>
      </c>
      <c r="I253" s="39" t="s">
        <v>167</v>
      </c>
    </row>
    <row r="254" spans="1:9" x14ac:dyDescent="0.2">
      <c r="A254" s="40"/>
      <c r="B254" s="40"/>
      <c r="C254" s="85"/>
      <c r="D254" s="85"/>
      <c r="E254" s="85"/>
      <c r="F254" s="85"/>
      <c r="G254" s="85"/>
      <c r="H254" s="85"/>
      <c r="I254" s="85"/>
    </row>
    <row r="255" spans="1:9" x14ac:dyDescent="0.2">
      <c r="A255" s="4" t="s">
        <v>278</v>
      </c>
      <c r="B255" s="41">
        <f>B244</f>
        <v>0</v>
      </c>
      <c r="C255" s="85"/>
      <c r="D255" s="85"/>
      <c r="E255" s="85"/>
      <c r="F255" s="85"/>
      <c r="G255" s="85"/>
      <c r="H255" s="85"/>
      <c r="I255" s="85"/>
    </row>
    <row r="256" spans="1:9" x14ac:dyDescent="0.2">
      <c r="A256" s="4" t="str">
        <f>A219</f>
        <v>Profit after Tax &amp; Dividend</v>
      </c>
      <c r="B256" s="4"/>
      <c r="C256" s="11">
        <f>B51</f>
        <v>3099491.1791309514</v>
      </c>
      <c r="D256" s="11">
        <f t="shared" ref="D256:I256" si="46">C51</f>
        <v>3881104.9420234719</v>
      </c>
      <c r="E256" s="11">
        <f t="shared" si="46"/>
        <v>4710386.7101209937</v>
      </c>
      <c r="F256" s="11">
        <f t="shared" si="46"/>
        <v>5640549.973467188</v>
      </c>
      <c r="G256" s="11">
        <f t="shared" si="46"/>
        <v>6673733.5668472983</v>
      </c>
      <c r="H256" s="11">
        <f t="shared" si="46"/>
        <v>7874443.4259642893</v>
      </c>
      <c r="I256" s="11">
        <f t="shared" si="46"/>
        <v>9125571.535881348</v>
      </c>
    </row>
    <row r="257" spans="1:9" x14ac:dyDescent="0.2">
      <c r="A257" s="4" t="str">
        <f>A221</f>
        <v>Add: Deprication</v>
      </c>
      <c r="B257" s="4"/>
      <c r="C257" s="31">
        <f>B42</f>
        <v>1357557.1910339999</v>
      </c>
      <c r="D257" s="31">
        <f t="shared" ref="D257:I258" si="47">C42</f>
        <v>1357557.1910339999</v>
      </c>
      <c r="E257" s="31">
        <f t="shared" si="47"/>
        <v>1357557.1910339999</v>
      </c>
      <c r="F257" s="31">
        <f t="shared" si="47"/>
        <v>1357557.1910339999</v>
      </c>
      <c r="G257" s="31">
        <f t="shared" si="47"/>
        <v>1357557.1910339999</v>
      </c>
      <c r="H257" s="31">
        <f t="shared" si="47"/>
        <v>1357557.1910339999</v>
      </c>
      <c r="I257" s="31">
        <f t="shared" si="47"/>
        <v>1357557.1910339999</v>
      </c>
    </row>
    <row r="258" spans="1:9" x14ac:dyDescent="0.2">
      <c r="A258" s="4" t="str">
        <f>A222</f>
        <v>Add. Preliminary exp Written off</v>
      </c>
      <c r="B258" s="4"/>
      <c r="C258" s="31">
        <f>B43</f>
        <v>82310</v>
      </c>
      <c r="D258" s="31">
        <f t="shared" si="47"/>
        <v>82310</v>
      </c>
      <c r="E258" s="31">
        <f t="shared" si="47"/>
        <v>82310</v>
      </c>
      <c r="F258" s="31">
        <f t="shared" si="47"/>
        <v>82310</v>
      </c>
      <c r="G258" s="31">
        <f t="shared" si="47"/>
        <v>82310</v>
      </c>
      <c r="H258" s="31">
        <f t="shared" si="47"/>
        <v>0</v>
      </c>
      <c r="I258" s="31">
        <f t="shared" si="47"/>
        <v>0</v>
      </c>
    </row>
    <row r="259" spans="1:9" x14ac:dyDescent="0.2">
      <c r="A259" s="4" t="str">
        <f>A224</f>
        <v xml:space="preserve">Net Cash Accrual (A)      </v>
      </c>
      <c r="B259" s="4"/>
      <c r="C259" s="86">
        <f>SUM(C256:C258)</f>
        <v>4539358.3701649513</v>
      </c>
      <c r="D259" s="86">
        <f t="shared" ref="D259:I259" si="48">SUM(D256:D258)</f>
        <v>5320972.1330574714</v>
      </c>
      <c r="E259" s="86">
        <f t="shared" si="48"/>
        <v>6150253.9011549931</v>
      </c>
      <c r="F259" s="86">
        <f t="shared" si="48"/>
        <v>7080417.1645011883</v>
      </c>
      <c r="G259" s="86">
        <f t="shared" si="48"/>
        <v>8113600.7578812987</v>
      </c>
      <c r="H259" s="86">
        <f t="shared" si="48"/>
        <v>9232000.6169982888</v>
      </c>
      <c r="I259" s="86">
        <f t="shared" si="48"/>
        <v>10483128.726915348</v>
      </c>
    </row>
    <row r="260" spans="1:9" x14ac:dyDescent="0.2">
      <c r="A260" s="4" t="s">
        <v>279</v>
      </c>
      <c r="B260" s="87"/>
      <c r="C260" s="21">
        <f>C259-B255</f>
        <v>4539358.3701649513</v>
      </c>
      <c r="D260" s="21">
        <f>C260+D259</f>
        <v>9860330.5032224227</v>
      </c>
      <c r="E260" s="21">
        <f>D260+E259</f>
        <v>16010584.404377416</v>
      </c>
      <c r="F260" s="21">
        <f>E260+F259</f>
        <v>23091001.568878606</v>
      </c>
      <c r="G260" s="21">
        <f>F260+G259</f>
        <v>31204602.326759905</v>
      </c>
      <c r="H260" s="21">
        <f t="shared" ref="H260:I260" si="49">G260+H259</f>
        <v>40436602.94375819</v>
      </c>
      <c r="I260" s="21">
        <f t="shared" si="49"/>
        <v>50919731.670673534</v>
      </c>
    </row>
    <row r="262" spans="1:9" x14ac:dyDescent="0.2">
      <c r="A262" s="2" t="s">
        <v>280</v>
      </c>
      <c r="C262" s="17">
        <f>4+(-F260/G259)</f>
        <v>1.154037737628546</v>
      </c>
    </row>
    <row r="264" spans="1:9" x14ac:dyDescent="0.2">
      <c r="A264" s="471" t="s">
        <v>416</v>
      </c>
      <c r="B264" s="471"/>
      <c r="C264" s="471"/>
      <c r="D264" s="471"/>
      <c r="E264" s="471"/>
      <c r="F264" s="471"/>
      <c r="G264" s="471"/>
      <c r="H264" s="471"/>
      <c r="I264" s="471"/>
    </row>
    <row r="266" spans="1:9" ht="18" x14ac:dyDescent="0.2">
      <c r="A266" s="496" t="s">
        <v>561</v>
      </c>
      <c r="B266" s="496"/>
      <c r="C266" s="496"/>
      <c r="D266" s="496"/>
      <c r="E266" s="496"/>
      <c r="F266" s="496"/>
      <c r="G266" s="496"/>
      <c r="H266" s="496"/>
    </row>
    <row r="268" spans="1:9" x14ac:dyDescent="0.2">
      <c r="A268" s="22" t="s">
        <v>0</v>
      </c>
      <c r="B268" s="22" t="s">
        <v>2</v>
      </c>
      <c r="C268" s="22" t="s">
        <v>3</v>
      </c>
      <c r="D268" s="22" t="s">
        <v>4</v>
      </c>
      <c r="E268" s="22" t="s">
        <v>5</v>
      </c>
      <c r="F268" s="22" t="s">
        <v>6</v>
      </c>
      <c r="G268" s="22" t="s">
        <v>168</v>
      </c>
      <c r="H268" s="22" t="s">
        <v>167</v>
      </c>
    </row>
    <row r="269" spans="1:9" x14ac:dyDescent="0.2">
      <c r="A269" s="20"/>
      <c r="B269" s="84"/>
      <c r="C269" s="84"/>
      <c r="D269" s="84"/>
      <c r="E269" s="84"/>
      <c r="F269" s="84"/>
      <c r="G269" s="84"/>
      <c r="H269" s="84"/>
    </row>
    <row r="270" spans="1:9" x14ac:dyDescent="0.2">
      <c r="A270" s="33" t="s">
        <v>331</v>
      </c>
      <c r="B270" s="34">
        <f>B40</f>
        <v>5118698.151000008</v>
      </c>
      <c r="C270" s="34">
        <f t="shared" ref="C270:H270" si="50">C40</f>
        <v>6533499.8135500029</v>
      </c>
      <c r="D270" s="34">
        <f t="shared" si="50"/>
        <v>7875717.2020274997</v>
      </c>
      <c r="E270" s="34">
        <f t="shared" si="50"/>
        <v>9335822.579818882</v>
      </c>
      <c r="F270" s="34">
        <f t="shared" si="50"/>
        <v>10922249.202384308</v>
      </c>
      <c r="G270" s="34">
        <f t="shared" si="50"/>
        <v>12643978.930756778</v>
      </c>
      <c r="H270" s="34">
        <f t="shared" si="50"/>
        <v>14510576.008960485</v>
      </c>
    </row>
    <row r="271" spans="1:9" x14ac:dyDescent="0.2">
      <c r="A271" s="33" t="s">
        <v>341</v>
      </c>
      <c r="B271" s="34">
        <f>B42</f>
        <v>1357557.1910339999</v>
      </c>
      <c r="C271" s="34">
        <f t="shared" ref="C271:H272" si="51">C42</f>
        <v>1357557.1910339999</v>
      </c>
      <c r="D271" s="34">
        <f t="shared" si="51"/>
        <v>1357557.1910339999</v>
      </c>
      <c r="E271" s="34">
        <f t="shared" si="51"/>
        <v>1357557.1910339999</v>
      </c>
      <c r="F271" s="34">
        <f t="shared" si="51"/>
        <v>1357557.1910339999</v>
      </c>
      <c r="G271" s="34">
        <f t="shared" si="51"/>
        <v>1357557.1910339999</v>
      </c>
      <c r="H271" s="34">
        <f t="shared" si="51"/>
        <v>1357557.1910339999</v>
      </c>
    </row>
    <row r="272" spans="1:9" x14ac:dyDescent="0.2">
      <c r="A272" s="33" t="s">
        <v>342</v>
      </c>
      <c r="B272" s="34">
        <f>B43</f>
        <v>82310</v>
      </c>
      <c r="C272" s="34">
        <f t="shared" si="51"/>
        <v>82310</v>
      </c>
      <c r="D272" s="34">
        <f t="shared" si="51"/>
        <v>82310</v>
      </c>
      <c r="E272" s="34">
        <f t="shared" si="51"/>
        <v>82310</v>
      </c>
      <c r="F272" s="34">
        <f t="shared" si="51"/>
        <v>82310</v>
      </c>
      <c r="G272" s="34">
        <f t="shared" si="51"/>
        <v>0</v>
      </c>
      <c r="H272" s="34">
        <f t="shared" si="51"/>
        <v>0</v>
      </c>
    </row>
    <row r="273" spans="1:9" x14ac:dyDescent="0.2">
      <c r="A273" s="33" t="s">
        <v>343</v>
      </c>
      <c r="B273" s="34">
        <f>SUM(D76:D87)</f>
        <v>0</v>
      </c>
      <c r="C273" s="34">
        <f>SUM(D88:D99)</f>
        <v>0</v>
      </c>
      <c r="D273" s="34">
        <f>SUM(D100:D111)</f>
        <v>0</v>
      </c>
      <c r="E273" s="34">
        <f>SUM(D112:D123)</f>
        <v>0</v>
      </c>
      <c r="F273" s="34">
        <f>SUM(D124:D135)</f>
        <v>0</v>
      </c>
      <c r="G273" s="34">
        <f>SUM(D136:D147)</f>
        <v>0</v>
      </c>
      <c r="H273" s="34">
        <f>SUM(D148:D159)</f>
        <v>0</v>
      </c>
    </row>
    <row r="274" spans="1:9" x14ac:dyDescent="0.2">
      <c r="A274" s="35" t="s">
        <v>1</v>
      </c>
      <c r="B274" s="36">
        <f>SUM(B270:B273)</f>
        <v>6558565.3420340084</v>
      </c>
      <c r="C274" s="36">
        <f t="shared" ref="C274:H274" si="52">SUM(C270:C273)</f>
        <v>7973367.0045840032</v>
      </c>
      <c r="D274" s="36">
        <f t="shared" si="52"/>
        <v>9315584.3930615</v>
      </c>
      <c r="E274" s="36">
        <f t="shared" si="52"/>
        <v>10775689.770852882</v>
      </c>
      <c r="F274" s="36">
        <f t="shared" si="52"/>
        <v>12362116.393418308</v>
      </c>
      <c r="G274" s="36">
        <f t="shared" si="52"/>
        <v>14001536.121790778</v>
      </c>
      <c r="H274" s="36">
        <f t="shared" si="52"/>
        <v>15868133.199994486</v>
      </c>
    </row>
    <row r="275" spans="1:9" x14ac:dyDescent="0.2">
      <c r="A275" s="33"/>
      <c r="B275" s="33"/>
      <c r="C275" s="33"/>
      <c r="D275" s="33"/>
      <c r="E275" s="33"/>
      <c r="F275" s="33"/>
      <c r="G275" s="33"/>
      <c r="H275" s="33"/>
    </row>
    <row r="276" spans="1:9" x14ac:dyDescent="0.2">
      <c r="A276" s="33" t="s">
        <v>281</v>
      </c>
      <c r="B276" s="37">
        <f>SUM(F76:F87)</f>
        <v>0</v>
      </c>
      <c r="C276" s="37">
        <f>SUM(F88:F99)</f>
        <v>0</v>
      </c>
      <c r="D276" s="37">
        <f>SUM(F100:F111)</f>
        <v>0</v>
      </c>
      <c r="E276" s="37">
        <f>SUM(F112:F123)</f>
        <v>0</v>
      </c>
      <c r="F276" s="37">
        <f>SUM(F124:F135)</f>
        <v>0</v>
      </c>
      <c r="G276" s="37">
        <f>SUM(F136:F147)</f>
        <v>0</v>
      </c>
      <c r="H276" s="37">
        <f>SUM(F148:F159)</f>
        <v>0</v>
      </c>
    </row>
    <row r="277" spans="1:9" x14ac:dyDescent="0.2">
      <c r="A277" s="33"/>
      <c r="B277" s="33"/>
      <c r="C277" s="33"/>
      <c r="D277" s="33"/>
      <c r="E277" s="33"/>
      <c r="F277" s="33"/>
      <c r="G277" s="33"/>
      <c r="H277" s="33"/>
    </row>
    <row r="278" spans="1:9" x14ac:dyDescent="0.2">
      <c r="A278" s="35" t="s">
        <v>329</v>
      </c>
      <c r="B278" s="38" t="e">
        <f>B274/B276</f>
        <v>#DIV/0!</v>
      </c>
      <c r="C278" s="38" t="e">
        <f t="shared" ref="C278:H278" si="53">C274/C276</f>
        <v>#DIV/0!</v>
      </c>
      <c r="D278" s="38" t="e">
        <f t="shared" si="53"/>
        <v>#DIV/0!</v>
      </c>
      <c r="E278" s="38" t="e">
        <f t="shared" si="53"/>
        <v>#DIV/0!</v>
      </c>
      <c r="F278" s="38" t="e">
        <f t="shared" si="53"/>
        <v>#DIV/0!</v>
      </c>
      <c r="G278" s="38" t="e">
        <f t="shared" si="53"/>
        <v>#DIV/0!</v>
      </c>
      <c r="H278" s="38" t="e">
        <f t="shared" si="53"/>
        <v>#DIV/0!</v>
      </c>
    </row>
    <row r="279" spans="1:9" x14ac:dyDescent="0.2">
      <c r="A279" s="32"/>
      <c r="B279" s="32"/>
      <c r="C279" s="32"/>
      <c r="D279" s="32"/>
      <c r="E279" s="32"/>
      <c r="F279" s="32"/>
      <c r="G279" s="32"/>
      <c r="H279" s="32"/>
    </row>
    <row r="280" spans="1:9" x14ac:dyDescent="0.2">
      <c r="A280" s="49" t="s">
        <v>330</v>
      </c>
      <c r="B280" s="90" t="e">
        <f>AVERAGE(B278:H278)</f>
        <v>#DIV/0!</v>
      </c>
      <c r="C280" s="32"/>
      <c r="D280" s="32"/>
      <c r="E280" s="32"/>
      <c r="F280" s="32"/>
      <c r="G280" s="32"/>
      <c r="H280" s="32"/>
    </row>
    <row r="282" spans="1:9" x14ac:dyDescent="0.2">
      <c r="A282" s="449" t="s">
        <v>417</v>
      </c>
      <c r="B282" s="449"/>
      <c r="C282" s="449"/>
      <c r="D282" s="449"/>
      <c r="E282" s="449"/>
      <c r="F282" s="449"/>
      <c r="G282" s="449"/>
      <c r="H282" s="449"/>
      <c r="I282" s="449"/>
    </row>
  </sheetData>
  <mergeCells count="21">
    <mergeCell ref="A264:I264"/>
    <mergeCell ref="A266:H266"/>
    <mergeCell ref="A282:I282"/>
    <mergeCell ref="A237:H237"/>
    <mergeCell ref="B243:H243"/>
    <mergeCell ref="B244:H244"/>
    <mergeCell ref="B246:H246"/>
    <mergeCell ref="A249:H249"/>
    <mergeCell ref="A251:I251"/>
    <mergeCell ref="A236:I236"/>
    <mergeCell ref="A2:H2"/>
    <mergeCell ref="A54:H54"/>
    <mergeCell ref="A66:H66"/>
    <mergeCell ref="A68:G68"/>
    <mergeCell ref="A166:I166"/>
    <mergeCell ref="C181:I181"/>
    <mergeCell ref="C183:I183"/>
    <mergeCell ref="A185:I185"/>
    <mergeCell ref="A187:H187"/>
    <mergeCell ref="A212:I212"/>
    <mergeCell ref="A215:H215"/>
  </mergeCells>
  <hyperlinks>
    <hyperlink ref="A185" r:id="rId1" display="https://www.investopedia.com/terms/d/discountrate.asp"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B2:R34"/>
  <sheetViews>
    <sheetView topLeftCell="C1" workbookViewId="0">
      <selection activeCell="M12" sqref="M12"/>
    </sheetView>
  </sheetViews>
  <sheetFormatPr defaultColWidth="8.7421875" defaultRowHeight="15" x14ac:dyDescent="0.2"/>
  <cols>
    <col min="1" max="1" width="8.7421875" style="92"/>
    <col min="2" max="2" width="33.08984375" style="92" bestFit="1" customWidth="1"/>
    <col min="3" max="3" width="12.23828125" style="92" bestFit="1" customWidth="1"/>
    <col min="4" max="9" width="11.703125" style="92" bestFit="1" customWidth="1"/>
    <col min="10" max="10" width="8.7421875" style="92"/>
    <col min="11" max="11" width="30.8046875" style="92" bestFit="1" customWidth="1"/>
    <col min="12" max="18" width="11.56640625" style="92" bestFit="1" customWidth="1"/>
    <col min="19" max="16384" width="8.7421875" style="92"/>
  </cols>
  <sheetData>
    <row r="2" spans="2:18" x14ac:dyDescent="0.2">
      <c r="B2" s="92" t="s">
        <v>160</v>
      </c>
      <c r="C2" s="92">
        <v>15000</v>
      </c>
      <c r="D2" s="92" t="s">
        <v>848</v>
      </c>
      <c r="K2" s="92" t="s">
        <v>160</v>
      </c>
      <c r="L2" s="92">
        <v>100</v>
      </c>
      <c r="M2" s="92" t="s">
        <v>769</v>
      </c>
    </row>
    <row r="3" spans="2:18" x14ac:dyDescent="0.2">
      <c r="B3" s="92" t="s">
        <v>849</v>
      </c>
      <c r="C3" s="92">
        <v>12</v>
      </c>
      <c r="K3" s="92" t="s">
        <v>705</v>
      </c>
      <c r="L3" s="92">
        <v>8</v>
      </c>
    </row>
    <row r="4" spans="2:18" x14ac:dyDescent="0.2">
      <c r="B4" s="92" t="s">
        <v>706</v>
      </c>
      <c r="C4" s="147">
        <v>270</v>
      </c>
      <c r="F4" s="401"/>
      <c r="K4" s="92" t="s">
        <v>706</v>
      </c>
      <c r="L4" s="92">
        <v>270</v>
      </c>
    </row>
    <row r="5" spans="2:18" x14ac:dyDescent="0.2">
      <c r="C5" s="147"/>
      <c r="D5" s="147"/>
      <c r="E5" s="147"/>
      <c r="F5" s="147"/>
      <c r="G5" s="147"/>
      <c r="H5" s="147"/>
      <c r="I5" s="147"/>
    </row>
    <row r="6" spans="2:18" x14ac:dyDescent="0.2">
      <c r="C6" s="147"/>
      <c r="D6" s="147"/>
      <c r="E6" s="147"/>
      <c r="F6" s="147"/>
      <c r="G6" s="147"/>
      <c r="H6" s="147"/>
      <c r="I6" s="147"/>
    </row>
    <row r="7" spans="2:18" x14ac:dyDescent="0.2">
      <c r="B7" s="126" t="s">
        <v>0</v>
      </c>
      <c r="C7" s="127" t="s">
        <v>2</v>
      </c>
      <c r="D7" s="127" t="s">
        <v>3</v>
      </c>
      <c r="E7" s="127" t="s">
        <v>4</v>
      </c>
      <c r="F7" s="127" t="s">
        <v>5</v>
      </c>
      <c r="G7" s="127" t="s">
        <v>6</v>
      </c>
      <c r="H7" s="127" t="s">
        <v>168</v>
      </c>
      <c r="I7" s="127" t="s">
        <v>167</v>
      </c>
      <c r="K7" s="402" t="s">
        <v>0</v>
      </c>
      <c r="L7" s="403" t="s">
        <v>2</v>
      </c>
      <c r="M7" s="403" t="s">
        <v>3</v>
      </c>
      <c r="N7" s="403" t="s">
        <v>4</v>
      </c>
      <c r="O7" s="403" t="s">
        <v>5</v>
      </c>
      <c r="P7" s="403" t="s">
        <v>6</v>
      </c>
      <c r="Q7" s="403" t="s">
        <v>168</v>
      </c>
      <c r="R7" s="403" t="s">
        <v>167</v>
      </c>
    </row>
    <row r="8" spans="2:18" x14ac:dyDescent="0.2">
      <c r="B8" s="98" t="s">
        <v>707</v>
      </c>
      <c r="C8" s="404">
        <v>0.5</v>
      </c>
      <c r="D8" s="404">
        <f>C8+0.05</f>
        <v>0.55000000000000004</v>
      </c>
      <c r="E8" s="404">
        <f t="shared" ref="E8:I8" si="0">D8+0.05</f>
        <v>0.60000000000000009</v>
      </c>
      <c r="F8" s="404">
        <f t="shared" si="0"/>
        <v>0.65000000000000013</v>
      </c>
      <c r="G8" s="404">
        <f t="shared" si="0"/>
        <v>0.70000000000000018</v>
      </c>
      <c r="H8" s="404">
        <f t="shared" si="0"/>
        <v>0.75000000000000022</v>
      </c>
      <c r="I8" s="404">
        <f t="shared" si="0"/>
        <v>0.80000000000000027</v>
      </c>
      <c r="K8" s="93" t="s">
        <v>707</v>
      </c>
      <c r="L8" s="125">
        <v>0.5</v>
      </c>
      <c r="M8" s="125">
        <v>0.55000000000000004</v>
      </c>
      <c r="N8" s="125">
        <v>0.60000000000000009</v>
      </c>
      <c r="O8" s="125">
        <v>0.65000000000000013</v>
      </c>
      <c r="P8" s="125">
        <v>0.70000000000000018</v>
      </c>
      <c r="Q8" s="125">
        <v>0.75000000000000022</v>
      </c>
      <c r="R8" s="125">
        <v>0.80000000000000027</v>
      </c>
    </row>
    <row r="9" spans="2:18" x14ac:dyDescent="0.2">
      <c r="B9" s="93" t="s">
        <v>708</v>
      </c>
      <c r="C9" s="128">
        <f>$C$4*C8</f>
        <v>135</v>
      </c>
      <c r="D9" s="128">
        <f>$C$4*D8</f>
        <v>148.5</v>
      </c>
      <c r="E9" s="128">
        <f t="shared" ref="E9:I9" si="1">$C$4*E8</f>
        <v>162.00000000000003</v>
      </c>
      <c r="F9" s="128">
        <f t="shared" si="1"/>
        <v>175.50000000000003</v>
      </c>
      <c r="G9" s="128">
        <f t="shared" si="1"/>
        <v>189.00000000000006</v>
      </c>
      <c r="H9" s="128">
        <f t="shared" si="1"/>
        <v>202.50000000000006</v>
      </c>
      <c r="I9" s="128">
        <f t="shared" si="1"/>
        <v>216.00000000000009</v>
      </c>
      <c r="K9" s="93" t="s">
        <v>708</v>
      </c>
      <c r="L9" s="93">
        <f>$L$4*L8</f>
        <v>135</v>
      </c>
      <c r="M9" s="93">
        <f t="shared" ref="M9:R9" si="2">$L$4*M8</f>
        <v>148.5</v>
      </c>
      <c r="N9" s="93">
        <f t="shared" si="2"/>
        <v>162.00000000000003</v>
      </c>
      <c r="O9" s="93">
        <f t="shared" si="2"/>
        <v>175.50000000000003</v>
      </c>
      <c r="P9" s="93">
        <f t="shared" si="2"/>
        <v>189.00000000000006</v>
      </c>
      <c r="Q9" s="93">
        <f t="shared" si="2"/>
        <v>202.50000000000006</v>
      </c>
      <c r="R9" s="93">
        <f t="shared" si="2"/>
        <v>216.00000000000009</v>
      </c>
    </row>
    <row r="10" spans="2:18" x14ac:dyDescent="0.2">
      <c r="B10" s="98" t="s">
        <v>850</v>
      </c>
      <c r="C10" s="104">
        <f>$C$2*C8</f>
        <v>7500</v>
      </c>
      <c r="D10" s="104">
        <f t="shared" ref="D10:I10" si="3">$C$2*D8</f>
        <v>8250</v>
      </c>
      <c r="E10" s="104">
        <f t="shared" si="3"/>
        <v>9000.0000000000018</v>
      </c>
      <c r="F10" s="104">
        <f t="shared" si="3"/>
        <v>9750.0000000000018</v>
      </c>
      <c r="G10" s="104">
        <f t="shared" si="3"/>
        <v>10500.000000000002</v>
      </c>
      <c r="H10" s="104">
        <f t="shared" si="3"/>
        <v>11250.000000000004</v>
      </c>
      <c r="I10" s="104">
        <f t="shared" si="3"/>
        <v>12000.000000000004</v>
      </c>
      <c r="K10" s="98" t="s">
        <v>753</v>
      </c>
      <c r="L10" s="104">
        <f>$L$2*L9*$L$3</f>
        <v>108000</v>
      </c>
      <c r="M10" s="104">
        <f t="shared" ref="M10:R10" si="4">$L$2*M9*$L$3</f>
        <v>118800</v>
      </c>
      <c r="N10" s="104">
        <f t="shared" si="4"/>
        <v>129600.00000000003</v>
      </c>
      <c r="O10" s="104">
        <f t="shared" si="4"/>
        <v>140400.00000000003</v>
      </c>
      <c r="P10" s="104">
        <f t="shared" si="4"/>
        <v>151200.00000000006</v>
      </c>
      <c r="Q10" s="104">
        <f t="shared" si="4"/>
        <v>162000.00000000006</v>
      </c>
      <c r="R10" s="104">
        <f t="shared" si="4"/>
        <v>172800.00000000006</v>
      </c>
    </row>
    <row r="11" spans="2:18" x14ac:dyDescent="0.2">
      <c r="B11" s="98" t="s">
        <v>851</v>
      </c>
      <c r="C11" s="98">
        <v>9</v>
      </c>
      <c r="D11" s="98">
        <f>C11</f>
        <v>9</v>
      </c>
      <c r="E11" s="98">
        <f t="shared" ref="E11:I11" si="5">D11</f>
        <v>9</v>
      </c>
      <c r="F11" s="98">
        <f t="shared" si="5"/>
        <v>9</v>
      </c>
      <c r="G11" s="98">
        <f t="shared" si="5"/>
        <v>9</v>
      </c>
      <c r="H11" s="98">
        <f t="shared" si="5"/>
        <v>9</v>
      </c>
      <c r="I11" s="98">
        <f t="shared" si="5"/>
        <v>9</v>
      </c>
      <c r="K11" s="93"/>
      <c r="L11" s="125"/>
      <c r="M11" s="125"/>
      <c r="N11" s="125"/>
      <c r="O11" s="125"/>
      <c r="P11" s="125"/>
      <c r="Q11" s="125"/>
      <c r="R11" s="125"/>
    </row>
    <row r="12" spans="2:18" x14ac:dyDescent="0.2">
      <c r="B12" s="98" t="s">
        <v>852</v>
      </c>
      <c r="C12" s="104">
        <f>C10*C11</f>
        <v>67500</v>
      </c>
      <c r="D12" s="104">
        <f t="shared" ref="D12:I12" si="6">D10*D11</f>
        <v>74250</v>
      </c>
      <c r="E12" s="104">
        <f t="shared" si="6"/>
        <v>81000.000000000015</v>
      </c>
      <c r="F12" s="104">
        <f t="shared" si="6"/>
        <v>87750.000000000015</v>
      </c>
      <c r="G12" s="104">
        <f t="shared" si="6"/>
        <v>94500.000000000015</v>
      </c>
      <c r="H12" s="104">
        <f t="shared" si="6"/>
        <v>101250.00000000003</v>
      </c>
      <c r="I12" s="104">
        <f t="shared" si="6"/>
        <v>108000.00000000003</v>
      </c>
      <c r="K12" s="98" t="s">
        <v>754</v>
      </c>
      <c r="L12" s="104">
        <f>L10-(L10*L11)</f>
        <v>108000</v>
      </c>
      <c r="M12" s="104">
        <f t="shared" ref="M12:R12" si="7">M10-(M10*M11)</f>
        <v>118800</v>
      </c>
      <c r="N12" s="104">
        <f t="shared" si="7"/>
        <v>129600.00000000003</v>
      </c>
      <c r="O12" s="104">
        <f t="shared" si="7"/>
        <v>140400.00000000003</v>
      </c>
      <c r="P12" s="104">
        <f t="shared" si="7"/>
        <v>151200.00000000006</v>
      </c>
      <c r="Q12" s="104">
        <f t="shared" si="7"/>
        <v>162000.00000000006</v>
      </c>
      <c r="R12" s="104">
        <f t="shared" si="7"/>
        <v>172800.00000000006</v>
      </c>
    </row>
    <row r="13" spans="2:18" x14ac:dyDescent="0.2">
      <c r="B13" s="98"/>
      <c r="C13" s="104"/>
      <c r="D13" s="104"/>
      <c r="E13" s="104"/>
      <c r="F13" s="104"/>
      <c r="G13" s="104"/>
      <c r="H13" s="104"/>
      <c r="I13" s="104"/>
      <c r="K13" s="93" t="s">
        <v>853</v>
      </c>
      <c r="L13" s="95">
        <f>L12</f>
        <v>108000</v>
      </c>
      <c r="M13" s="95">
        <f t="shared" ref="M13:R13" si="8">M12</f>
        <v>118800</v>
      </c>
      <c r="N13" s="95">
        <f t="shared" si="8"/>
        <v>129600.00000000003</v>
      </c>
      <c r="O13" s="95">
        <f t="shared" si="8"/>
        <v>140400.00000000003</v>
      </c>
      <c r="P13" s="95">
        <f t="shared" si="8"/>
        <v>151200.00000000006</v>
      </c>
      <c r="Q13" s="95">
        <f t="shared" si="8"/>
        <v>162000.00000000006</v>
      </c>
      <c r="R13" s="95">
        <f t="shared" si="8"/>
        <v>172800.00000000006</v>
      </c>
    </row>
    <row r="14" spans="2:18" x14ac:dyDescent="0.2">
      <c r="B14" s="406" t="s">
        <v>139</v>
      </c>
      <c r="C14" s="104"/>
      <c r="D14" s="104"/>
      <c r="E14" s="104"/>
      <c r="F14" s="104"/>
      <c r="G14" s="104"/>
      <c r="H14" s="104"/>
      <c r="I14" s="104"/>
      <c r="K14" s="93"/>
      <c r="L14" s="95"/>
      <c r="M14" s="95"/>
      <c r="N14" s="95"/>
      <c r="O14" s="95"/>
      <c r="P14" s="95"/>
      <c r="Q14" s="95"/>
      <c r="R14" s="95"/>
    </row>
    <row r="15" spans="2:18" x14ac:dyDescent="0.2">
      <c r="B15" s="93" t="s">
        <v>877</v>
      </c>
      <c r="C15" s="95">
        <f t="shared" ref="C15:I15" si="9">(C12*50%)*1000/200</f>
        <v>168750</v>
      </c>
      <c r="D15" s="95">
        <f t="shared" si="9"/>
        <v>185625</v>
      </c>
      <c r="E15" s="95">
        <f t="shared" si="9"/>
        <v>202500.00000000003</v>
      </c>
      <c r="F15" s="95">
        <f t="shared" si="9"/>
        <v>219375.00000000003</v>
      </c>
      <c r="G15" s="95">
        <f t="shared" si="9"/>
        <v>236250.00000000003</v>
      </c>
      <c r="H15" s="95">
        <f t="shared" si="9"/>
        <v>253125.00000000009</v>
      </c>
      <c r="I15" s="95">
        <f t="shared" si="9"/>
        <v>270000.00000000006</v>
      </c>
      <c r="K15" s="93"/>
      <c r="L15" s="95"/>
      <c r="M15" s="95"/>
      <c r="N15" s="95"/>
      <c r="O15" s="95"/>
      <c r="P15" s="95"/>
      <c r="Q15" s="95"/>
      <c r="R15" s="95"/>
    </row>
    <row r="16" spans="2:18" x14ac:dyDescent="0.2">
      <c r="B16" s="93" t="s">
        <v>878</v>
      </c>
      <c r="C16" s="95">
        <f t="shared" ref="C16:I16" si="10">(C12*50%)*1000/500</f>
        <v>67500</v>
      </c>
      <c r="D16" s="95">
        <f t="shared" si="10"/>
        <v>74250</v>
      </c>
      <c r="E16" s="95">
        <f t="shared" si="10"/>
        <v>81000.000000000015</v>
      </c>
      <c r="F16" s="95">
        <f t="shared" si="10"/>
        <v>87750.000000000015</v>
      </c>
      <c r="G16" s="95">
        <f t="shared" si="10"/>
        <v>94500.000000000015</v>
      </c>
      <c r="H16" s="95">
        <f t="shared" si="10"/>
        <v>101250.00000000003</v>
      </c>
      <c r="I16" s="95">
        <f t="shared" si="10"/>
        <v>108000.00000000003</v>
      </c>
      <c r="K16" s="93"/>
      <c r="L16" s="95"/>
      <c r="M16" s="95"/>
      <c r="N16" s="95"/>
      <c r="O16" s="95"/>
      <c r="P16" s="95"/>
      <c r="Q16" s="95"/>
      <c r="R16" s="95"/>
    </row>
    <row r="17" spans="2:18" x14ac:dyDescent="0.2">
      <c r="B17" s="93"/>
      <c r="C17" s="95"/>
      <c r="D17" s="95"/>
      <c r="E17" s="95"/>
      <c r="F17" s="95"/>
      <c r="G17" s="95"/>
      <c r="H17" s="95"/>
      <c r="I17" s="95"/>
      <c r="K17" s="93"/>
      <c r="L17" s="95"/>
      <c r="M17" s="95"/>
      <c r="N17" s="95"/>
      <c r="O17" s="95"/>
      <c r="P17" s="95"/>
      <c r="Q17" s="95"/>
      <c r="R17" s="95"/>
    </row>
    <row r="18" spans="2:18" x14ac:dyDescent="0.2">
      <c r="B18" s="98" t="s">
        <v>445</v>
      </c>
      <c r="C18" s="95"/>
      <c r="D18" s="95"/>
      <c r="E18" s="95"/>
      <c r="F18" s="95"/>
      <c r="G18" s="95"/>
      <c r="H18" s="95"/>
      <c r="I18" s="95"/>
      <c r="K18" s="93"/>
      <c r="L18" s="95"/>
      <c r="M18" s="95"/>
      <c r="N18" s="95"/>
      <c r="O18" s="95"/>
      <c r="P18" s="95"/>
      <c r="Q18" s="95"/>
      <c r="R18" s="95"/>
    </row>
    <row r="19" spans="2:18" x14ac:dyDescent="0.2">
      <c r="B19" s="93" t="s">
        <v>853</v>
      </c>
      <c r="C19" s="95">
        <f t="shared" ref="C19:I19" si="11">C12/2.5</f>
        <v>27000</v>
      </c>
      <c r="D19" s="95">
        <f t="shared" si="11"/>
        <v>29700</v>
      </c>
      <c r="E19" s="95">
        <f t="shared" si="11"/>
        <v>32400.000000000007</v>
      </c>
      <c r="F19" s="95">
        <f t="shared" si="11"/>
        <v>35100.000000000007</v>
      </c>
      <c r="G19" s="95">
        <f t="shared" si="11"/>
        <v>37800.000000000007</v>
      </c>
      <c r="H19" s="95">
        <f t="shared" si="11"/>
        <v>40500.000000000015</v>
      </c>
      <c r="I19" s="95">
        <f t="shared" si="11"/>
        <v>43200.000000000015</v>
      </c>
      <c r="K19" s="93"/>
      <c r="L19" s="95"/>
      <c r="M19" s="95"/>
      <c r="N19" s="95"/>
      <c r="O19" s="95"/>
      <c r="P19" s="95"/>
      <c r="Q19" s="95"/>
      <c r="R19" s="95"/>
    </row>
    <row r="20" spans="2:18" x14ac:dyDescent="0.2">
      <c r="B20" s="93"/>
      <c r="C20" s="95"/>
      <c r="D20" s="95"/>
      <c r="E20" s="95"/>
      <c r="F20" s="95"/>
      <c r="G20" s="95"/>
      <c r="H20" s="95"/>
      <c r="I20" s="95"/>
      <c r="K20" s="98" t="s">
        <v>752</v>
      </c>
      <c r="L20" s="95"/>
      <c r="M20" s="95"/>
      <c r="N20" s="95"/>
      <c r="O20" s="95"/>
      <c r="P20" s="95"/>
      <c r="Q20" s="95"/>
      <c r="R20" s="95"/>
    </row>
    <row r="21" spans="2:18" x14ac:dyDescent="0.2">
      <c r="B21" s="93"/>
      <c r="C21" s="95"/>
      <c r="D21" s="95"/>
      <c r="E21" s="95"/>
      <c r="F21" s="95"/>
      <c r="G21" s="95"/>
      <c r="H21" s="95"/>
      <c r="I21" s="95"/>
      <c r="K21" s="93" t="str">
        <f>K13</f>
        <v>Strawberry</v>
      </c>
      <c r="L21" s="95"/>
      <c r="M21" s="95"/>
      <c r="N21" s="95"/>
      <c r="O21" s="95"/>
      <c r="P21" s="95"/>
      <c r="Q21" s="95"/>
      <c r="R21" s="95"/>
    </row>
    <row r="22" spans="2:18" x14ac:dyDescent="0.2">
      <c r="B22" s="93"/>
      <c r="C22" s="95"/>
      <c r="D22" s="95"/>
      <c r="E22" s="95"/>
      <c r="F22" s="95"/>
      <c r="G22" s="95"/>
      <c r="H22" s="95"/>
      <c r="I22" s="95"/>
      <c r="K22" s="93" t="s">
        <v>854</v>
      </c>
      <c r="L22" s="95">
        <f t="shared" ref="L22:R22" si="12">(L13*95%)*1.5</f>
        <v>153900</v>
      </c>
      <c r="M22" s="95">
        <f t="shared" si="12"/>
        <v>169290</v>
      </c>
      <c r="N22" s="95">
        <f t="shared" si="12"/>
        <v>184680.00000000006</v>
      </c>
      <c r="O22" s="95">
        <f t="shared" si="12"/>
        <v>200070.00000000006</v>
      </c>
      <c r="P22" s="95">
        <f t="shared" si="12"/>
        <v>215460.00000000009</v>
      </c>
      <c r="Q22" s="95">
        <f t="shared" si="12"/>
        <v>230850.00000000009</v>
      </c>
      <c r="R22" s="95">
        <f t="shared" si="12"/>
        <v>246240.00000000009</v>
      </c>
    </row>
    <row r="23" spans="2:18" x14ac:dyDescent="0.2">
      <c r="B23" s="98"/>
      <c r="C23" s="98"/>
      <c r="D23" s="98"/>
      <c r="E23" s="98"/>
      <c r="F23" s="98"/>
      <c r="G23" s="98"/>
      <c r="H23" s="98"/>
      <c r="I23" s="98"/>
      <c r="K23" s="93"/>
      <c r="L23" s="95"/>
      <c r="M23" s="95"/>
      <c r="N23" s="95"/>
      <c r="O23" s="95"/>
      <c r="P23" s="95"/>
      <c r="Q23" s="95"/>
      <c r="R23" s="95"/>
    </row>
    <row r="24" spans="2:18" x14ac:dyDescent="0.2">
      <c r="B24" s="98"/>
      <c r="C24" s="405"/>
      <c r="D24" s="405"/>
      <c r="E24" s="405"/>
      <c r="F24" s="405"/>
      <c r="G24" s="405"/>
      <c r="H24" s="405"/>
      <c r="I24" s="405"/>
      <c r="K24" s="93"/>
      <c r="L24" s="95"/>
      <c r="M24" s="95"/>
      <c r="N24" s="95"/>
      <c r="O24" s="95"/>
      <c r="P24" s="95"/>
      <c r="Q24" s="95"/>
      <c r="R24" s="95"/>
    </row>
    <row r="25" spans="2:18" x14ac:dyDescent="0.2">
      <c r="B25" s="93"/>
      <c r="C25" s="140"/>
      <c r="D25" s="140"/>
      <c r="E25" s="140"/>
      <c r="F25" s="140"/>
      <c r="G25" s="140"/>
      <c r="H25" s="140"/>
      <c r="I25" s="140"/>
      <c r="K25" s="93"/>
      <c r="L25" s="95"/>
      <c r="M25" s="95"/>
      <c r="N25" s="95"/>
      <c r="O25" s="95"/>
      <c r="P25" s="95"/>
      <c r="Q25" s="95"/>
      <c r="R25" s="95"/>
    </row>
    <row r="26" spans="2:18" x14ac:dyDescent="0.2">
      <c r="B26" s="93"/>
      <c r="C26" s="140"/>
      <c r="D26" s="140"/>
      <c r="E26" s="140"/>
      <c r="F26" s="140"/>
      <c r="G26" s="140"/>
      <c r="H26" s="140"/>
      <c r="I26" s="140"/>
      <c r="K26" s="93"/>
      <c r="L26" s="95"/>
      <c r="M26" s="95"/>
      <c r="N26" s="95"/>
      <c r="O26" s="95"/>
      <c r="P26" s="95"/>
      <c r="Q26" s="95"/>
      <c r="R26" s="95"/>
    </row>
    <row r="27" spans="2:18" x14ac:dyDescent="0.2">
      <c r="B27" s="93"/>
      <c r="C27" s="140"/>
      <c r="D27" s="140"/>
      <c r="E27" s="140"/>
      <c r="F27" s="140"/>
      <c r="G27" s="140"/>
      <c r="H27" s="140"/>
      <c r="I27" s="140"/>
      <c r="K27" s="93"/>
      <c r="L27" s="95"/>
      <c r="M27" s="95"/>
      <c r="N27" s="95"/>
      <c r="O27" s="95"/>
      <c r="P27" s="95"/>
      <c r="Q27" s="95"/>
      <c r="R27" s="95"/>
    </row>
    <row r="28" spans="2:18" x14ac:dyDescent="0.2">
      <c r="B28" s="93"/>
      <c r="C28" s="140"/>
      <c r="D28" s="140"/>
      <c r="E28" s="140"/>
      <c r="F28" s="140"/>
      <c r="G28" s="140"/>
      <c r="H28" s="140"/>
      <c r="I28" s="140"/>
    </row>
    <row r="29" spans="2:18" x14ac:dyDescent="0.2">
      <c r="B29" s="93"/>
      <c r="C29" s="140"/>
      <c r="D29" s="140"/>
      <c r="E29" s="140"/>
      <c r="F29" s="140"/>
      <c r="G29" s="140"/>
      <c r="H29" s="140"/>
      <c r="I29" s="140"/>
    </row>
    <row r="30" spans="2:18" x14ac:dyDescent="0.2">
      <c r="B30" s="93"/>
      <c r="C30" s="140"/>
      <c r="D30" s="140"/>
      <c r="E30" s="140"/>
      <c r="F30" s="140"/>
      <c r="G30" s="140"/>
      <c r="H30" s="140"/>
      <c r="I30" s="140"/>
    </row>
    <row r="31" spans="2:18" x14ac:dyDescent="0.2">
      <c r="L31" s="146">
        <f>C19+L13</f>
        <v>135000</v>
      </c>
      <c r="M31" s="146">
        <f t="shared" ref="M31:R31" si="13">D19+M13</f>
        <v>148500</v>
      </c>
      <c r="N31" s="146">
        <f t="shared" si="13"/>
        <v>162000.00000000003</v>
      </c>
      <c r="O31" s="146">
        <f t="shared" si="13"/>
        <v>175500.00000000003</v>
      </c>
      <c r="P31" s="146">
        <f t="shared" si="13"/>
        <v>189000.00000000006</v>
      </c>
      <c r="Q31" s="146">
        <f t="shared" si="13"/>
        <v>202500.00000000006</v>
      </c>
      <c r="R31" s="146">
        <f t="shared" si="13"/>
        <v>216000.00000000006</v>
      </c>
    </row>
    <row r="32" spans="2:18" x14ac:dyDescent="0.2">
      <c r="L32" s="146">
        <f>L31/100</f>
        <v>1350</v>
      </c>
      <c r="M32" s="146">
        <f t="shared" ref="M32:R32" si="14">M31/100</f>
        <v>1485</v>
      </c>
      <c r="N32" s="146">
        <f t="shared" si="14"/>
        <v>1620.0000000000002</v>
      </c>
      <c r="O32" s="146">
        <f t="shared" si="14"/>
        <v>1755.0000000000002</v>
      </c>
      <c r="P32" s="146">
        <f t="shared" si="14"/>
        <v>1890.0000000000007</v>
      </c>
      <c r="Q32" s="146">
        <f t="shared" si="14"/>
        <v>2025.0000000000007</v>
      </c>
      <c r="R32" s="146">
        <f t="shared" si="14"/>
        <v>2160.0000000000005</v>
      </c>
    </row>
    <row r="33" spans="12:18" x14ac:dyDescent="0.2">
      <c r="L33" s="92">
        <v>1345.2</v>
      </c>
      <c r="M33" s="92">
        <v>1412.46</v>
      </c>
      <c r="N33" s="92">
        <v>1483.0830000000003</v>
      </c>
      <c r="O33" s="92">
        <v>1557.2371500000004</v>
      </c>
      <c r="P33" s="92">
        <v>1635.0990075000007</v>
      </c>
      <c r="Q33" s="92">
        <v>1716.8539578750008</v>
      </c>
      <c r="R33" s="92">
        <v>1802.6966557687508</v>
      </c>
    </row>
    <row r="34" spans="12:18" x14ac:dyDescent="0.2">
      <c r="L34" s="146">
        <f>L32-L33</f>
        <v>4.7999999999999545</v>
      </c>
      <c r="M34" s="146">
        <f t="shared" ref="M34:R34" si="15">M32-M33</f>
        <v>72.539999999999964</v>
      </c>
      <c r="N34" s="146">
        <f t="shared" si="15"/>
        <v>136.91699999999992</v>
      </c>
      <c r="O34" s="146">
        <f t="shared" si="15"/>
        <v>197.76284999999984</v>
      </c>
      <c r="P34" s="146">
        <f t="shared" si="15"/>
        <v>254.90099250000003</v>
      </c>
      <c r="Q34" s="146">
        <f t="shared" si="15"/>
        <v>308.14604212499989</v>
      </c>
      <c r="R34" s="146">
        <f t="shared" si="15"/>
        <v>357.30334423124964</v>
      </c>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H6:L8"/>
  <sheetViews>
    <sheetView workbookViewId="0">
      <selection activeCell="B11" sqref="B11"/>
    </sheetView>
  </sheetViews>
  <sheetFormatPr defaultRowHeight="15" x14ac:dyDescent="0.2"/>
  <cols>
    <col min="9" max="9" width="10.22265625" bestFit="1" customWidth="1"/>
    <col min="10" max="10" width="10.625" bestFit="1" customWidth="1"/>
    <col min="12" max="12" width="10.89453125" bestFit="1" customWidth="1"/>
  </cols>
  <sheetData>
    <row r="6" spans="8:12" x14ac:dyDescent="0.2">
      <c r="H6" t="s">
        <v>727</v>
      </c>
      <c r="I6" t="s">
        <v>728</v>
      </c>
      <c r="J6" t="s">
        <v>729</v>
      </c>
      <c r="K6" t="s">
        <v>1</v>
      </c>
      <c r="L6" t="s">
        <v>346</v>
      </c>
    </row>
    <row r="7" spans="8:12" x14ac:dyDescent="0.2">
      <c r="H7" t="s">
        <v>385</v>
      </c>
      <c r="I7">
        <v>500</v>
      </c>
      <c r="J7">
        <f>5</f>
        <v>5</v>
      </c>
      <c r="K7">
        <f>I7*J7</f>
        <v>2500</v>
      </c>
      <c r="L7">
        <v>30000</v>
      </c>
    </row>
    <row r="8" spans="8:12" x14ac:dyDescent="0.2">
      <c r="H8" t="s">
        <v>387</v>
      </c>
      <c r="I8">
        <v>1500</v>
      </c>
      <c r="J8" t="s">
        <v>730</v>
      </c>
      <c r="K8" t="e">
        <f t="shared" ref="K8" si="0">I8*J8</f>
        <v>#VALUE!</v>
      </c>
      <c r="L8">
        <v>50000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7030A0"/>
  </sheetPr>
  <dimension ref="A1:F35"/>
  <sheetViews>
    <sheetView zoomScaleNormal="100" zoomScaleSheetLayoutView="85" workbookViewId="0">
      <selection sqref="A1:D1"/>
    </sheetView>
  </sheetViews>
  <sheetFormatPr defaultColWidth="9.14453125" defaultRowHeight="15" x14ac:dyDescent="0.2"/>
  <cols>
    <col min="1" max="1" width="55.69140625" style="92" bestFit="1" customWidth="1"/>
    <col min="2" max="2" width="13.71875" style="92" bestFit="1" customWidth="1"/>
    <col min="3" max="3" width="11.02734375" style="92" bestFit="1" customWidth="1"/>
    <col min="4" max="4" width="11.1640625" style="92" bestFit="1" customWidth="1"/>
    <col min="5" max="5" width="10.4921875" style="92" hidden="1" customWidth="1"/>
    <col min="6" max="6" width="10.22265625" style="92" hidden="1" customWidth="1"/>
    <col min="7" max="16384" width="9.14453125" style="92"/>
  </cols>
  <sheetData>
    <row r="1" spans="1:6" ht="15" customHeight="1" x14ac:dyDescent="0.2">
      <c r="A1" s="505" t="s">
        <v>731</v>
      </c>
      <c r="B1" s="506"/>
      <c r="C1" s="506"/>
      <c r="D1" s="506"/>
      <c r="E1" s="91"/>
      <c r="F1" s="91"/>
    </row>
    <row r="2" spans="1:6" x14ac:dyDescent="0.2">
      <c r="A2" s="98"/>
      <c r="B2" s="102" t="s">
        <v>385</v>
      </c>
      <c r="C2" s="102" t="s">
        <v>387</v>
      </c>
      <c r="D2" s="102" t="s">
        <v>1</v>
      </c>
      <c r="E2" s="94"/>
      <c r="F2" s="94"/>
    </row>
    <row r="3" spans="1:6" x14ac:dyDescent="0.2">
      <c r="A3" s="98" t="s">
        <v>744</v>
      </c>
      <c r="B3" s="104">
        <v>1</v>
      </c>
      <c r="C3" s="104">
        <v>1</v>
      </c>
      <c r="D3" s="104">
        <f>B3+C3</f>
        <v>2</v>
      </c>
      <c r="E3" s="95"/>
      <c r="F3" s="95"/>
    </row>
    <row r="4" spans="1:6" x14ac:dyDescent="0.2">
      <c r="A4" s="93"/>
      <c r="B4" s="95"/>
      <c r="C4" s="95"/>
      <c r="D4" s="95"/>
      <c r="E4" s="95"/>
      <c r="F4" s="95"/>
    </row>
    <row r="5" spans="1:6" x14ac:dyDescent="0.2">
      <c r="A5" s="98" t="s">
        <v>732</v>
      </c>
      <c r="B5" s="95"/>
      <c r="C5" s="95"/>
      <c r="D5" s="95"/>
      <c r="E5" s="95"/>
      <c r="F5" s="95"/>
    </row>
    <row r="6" spans="1:6" x14ac:dyDescent="0.2">
      <c r="A6" s="93" t="s">
        <v>733</v>
      </c>
      <c r="B6" s="97">
        <v>5</v>
      </c>
      <c r="C6" s="97">
        <v>15</v>
      </c>
      <c r="D6" s="95"/>
      <c r="E6" s="95"/>
      <c r="F6" s="95"/>
    </row>
    <row r="7" spans="1:6" x14ac:dyDescent="0.2">
      <c r="A7" s="93" t="s">
        <v>734</v>
      </c>
      <c r="B7" s="95">
        <f>B3*B6</f>
        <v>5</v>
      </c>
      <c r="C7" s="95">
        <f>C3*C6</f>
        <v>15</v>
      </c>
      <c r="D7" s="95">
        <f>D3*D6</f>
        <v>0</v>
      </c>
      <c r="E7" s="95"/>
      <c r="F7" s="95"/>
    </row>
    <row r="8" spans="1:6" x14ac:dyDescent="0.2">
      <c r="A8" s="93" t="s">
        <v>739</v>
      </c>
      <c r="B8" s="95">
        <f>10*1000</f>
        <v>10000</v>
      </c>
      <c r="C8" s="95">
        <f>14*1000</f>
        <v>14000</v>
      </c>
      <c r="D8" s="95">
        <f>C8*(1+[6]Assumptions!$B$17)</f>
        <v>14700</v>
      </c>
      <c r="E8" s="95"/>
      <c r="F8" s="95"/>
    </row>
    <row r="9" spans="1:6" x14ac:dyDescent="0.2">
      <c r="A9" s="93"/>
      <c r="B9" s="96"/>
      <c r="C9" s="96"/>
      <c r="D9" s="96"/>
      <c r="E9" s="95"/>
      <c r="F9" s="95"/>
    </row>
    <row r="10" spans="1:6" x14ac:dyDescent="0.2">
      <c r="A10" s="98" t="s">
        <v>742</v>
      </c>
      <c r="B10" s="103">
        <f>((B7*B8))</f>
        <v>50000</v>
      </c>
      <c r="C10" s="103">
        <f>((C7*C8))</f>
        <v>210000</v>
      </c>
      <c r="D10" s="103">
        <f>SUM(B10:C10)</f>
        <v>260000</v>
      </c>
      <c r="E10" s="95"/>
      <c r="F10" s="95"/>
    </row>
    <row r="11" spans="1:6" x14ac:dyDescent="0.2">
      <c r="A11" s="93"/>
      <c r="B11" s="95"/>
      <c r="C11" s="95"/>
      <c r="D11" s="95"/>
      <c r="E11" s="95"/>
      <c r="F11" s="95"/>
    </row>
    <row r="12" spans="1:6" x14ac:dyDescent="0.2">
      <c r="A12" s="98" t="s">
        <v>346</v>
      </c>
      <c r="B12" s="95"/>
      <c r="C12" s="95"/>
      <c r="D12" s="95"/>
      <c r="E12" s="95"/>
      <c r="F12" s="95"/>
    </row>
    <row r="13" spans="1:6" x14ac:dyDescent="0.2">
      <c r="A13" s="93" t="s">
        <v>735</v>
      </c>
      <c r="B13" s="95">
        <v>30000</v>
      </c>
      <c r="C13" s="95">
        <v>50000</v>
      </c>
      <c r="D13" s="95"/>
      <c r="E13" s="95"/>
      <c r="F13" s="95"/>
    </row>
    <row r="14" spans="1:6" x14ac:dyDescent="0.2">
      <c r="A14" s="93" t="s">
        <v>737</v>
      </c>
      <c r="B14" s="95">
        <f>((B7*1000)/50)*20</f>
        <v>2000</v>
      </c>
      <c r="C14" s="95">
        <f>((C7*1000)/50)*20</f>
        <v>6000</v>
      </c>
      <c r="D14" s="95"/>
      <c r="E14" s="95"/>
      <c r="F14" s="95"/>
    </row>
    <row r="15" spans="1:6" x14ac:dyDescent="0.2">
      <c r="A15" s="93" t="s">
        <v>292</v>
      </c>
      <c r="B15" s="95">
        <f>(B7*3000)</f>
        <v>15000</v>
      </c>
      <c r="C15" s="95">
        <f>(C7*3000)</f>
        <v>45000</v>
      </c>
      <c r="D15" s="95"/>
      <c r="E15" s="95"/>
      <c r="F15" s="95"/>
    </row>
    <row r="16" spans="1:6" x14ac:dyDescent="0.2">
      <c r="A16" s="93" t="s">
        <v>736</v>
      </c>
      <c r="B16" s="95">
        <f>SUM(B13:B15)</f>
        <v>47000</v>
      </c>
      <c r="C16" s="95">
        <f>SUM(C13:C15)</f>
        <v>101000</v>
      </c>
      <c r="D16" s="95"/>
      <c r="E16" s="95"/>
      <c r="F16" s="95"/>
    </row>
    <row r="17" spans="1:6" x14ac:dyDescent="0.2">
      <c r="A17" s="93"/>
      <c r="B17" s="95"/>
      <c r="C17" s="95"/>
      <c r="D17" s="95"/>
      <c r="E17" s="95"/>
      <c r="F17" s="95"/>
    </row>
    <row r="18" spans="1:6" x14ac:dyDescent="0.2">
      <c r="A18" s="98" t="s">
        <v>738</v>
      </c>
      <c r="B18" s="104">
        <f>B10-B16</f>
        <v>3000</v>
      </c>
      <c r="C18" s="104">
        <f>C10-C16</f>
        <v>109000</v>
      </c>
      <c r="D18" s="102">
        <f>SUM(B18:C18)</f>
        <v>112000</v>
      </c>
      <c r="E18" s="95"/>
      <c r="F18" s="95"/>
    </row>
    <row r="19" spans="1:6" x14ac:dyDescent="0.2">
      <c r="A19" s="93"/>
      <c r="B19" s="95"/>
      <c r="C19" s="95"/>
      <c r="D19" s="95"/>
      <c r="E19" s="95"/>
      <c r="F19" s="95"/>
    </row>
    <row r="20" spans="1:6" x14ac:dyDescent="0.2">
      <c r="A20" s="98" t="s">
        <v>741</v>
      </c>
      <c r="B20" s="96"/>
      <c r="C20" s="96"/>
      <c r="D20" s="96"/>
      <c r="E20" s="95"/>
      <c r="F20" s="95"/>
    </row>
    <row r="21" spans="1:6" x14ac:dyDescent="0.2">
      <c r="A21" s="93" t="str">
        <f>A6</f>
        <v>Average current productivity per acre of Maize(in MT)</v>
      </c>
      <c r="B21" s="95">
        <f>B6</f>
        <v>5</v>
      </c>
      <c r="C21" s="95">
        <f>C6</f>
        <v>15</v>
      </c>
      <c r="D21" s="95">
        <f>C21*(1+[6]Assumptions!$B$17)</f>
        <v>15.75</v>
      </c>
      <c r="E21" s="99"/>
      <c r="F21" s="99"/>
    </row>
    <row r="22" spans="1:6" x14ac:dyDescent="0.2">
      <c r="A22" s="93" t="str">
        <f>A7</f>
        <v>Total Production of Maize (in MT)</v>
      </c>
      <c r="B22" s="95">
        <f>B8*1.1</f>
        <v>11000</v>
      </c>
      <c r="C22" s="95">
        <f>C8*1.1</f>
        <v>15400.000000000002</v>
      </c>
      <c r="D22" s="95">
        <f>C22*(1+[6]Assumptions!$B$17)</f>
        <v>16170.000000000002</v>
      </c>
      <c r="E22" s="99"/>
      <c r="F22" s="99"/>
    </row>
    <row r="23" spans="1:6" x14ac:dyDescent="0.2">
      <c r="A23" s="93"/>
      <c r="B23" s="96"/>
      <c r="C23" s="96"/>
      <c r="D23" s="96"/>
    </row>
    <row r="24" spans="1:6" x14ac:dyDescent="0.2">
      <c r="A24" s="98" t="s">
        <v>742</v>
      </c>
      <c r="B24" s="102">
        <f>B21*B22</f>
        <v>55000</v>
      </c>
      <c r="C24" s="102">
        <f>C21*C22</f>
        <v>231000.00000000003</v>
      </c>
      <c r="D24" s="102">
        <f>SUM(B24:C24)</f>
        <v>286000</v>
      </c>
    </row>
    <row r="25" spans="1:6" x14ac:dyDescent="0.2">
      <c r="A25" s="93"/>
      <c r="B25" s="100">
        <f>+ROUND(B23-B9,2)</f>
        <v>0</v>
      </c>
      <c r="C25" s="100">
        <f>+ROUND(C23-C9,2)</f>
        <v>0</v>
      </c>
      <c r="D25" s="100">
        <f>+ROUND(D23-D9,2)</f>
        <v>0</v>
      </c>
    </row>
    <row r="26" spans="1:6" x14ac:dyDescent="0.2">
      <c r="A26" s="98" t="s">
        <v>346</v>
      </c>
      <c r="B26" s="100"/>
      <c r="C26" s="100"/>
      <c r="D26" s="100"/>
    </row>
    <row r="27" spans="1:6" x14ac:dyDescent="0.2">
      <c r="A27" s="93" t="str">
        <f>A13</f>
        <v>Cultivation to harvesting expenditure per acres</v>
      </c>
      <c r="B27" s="100">
        <f>B13</f>
        <v>30000</v>
      </c>
      <c r="C27" s="100">
        <f>C13</f>
        <v>50000</v>
      </c>
      <c r="D27" s="94">
        <f>SUM(B27:C27)</f>
        <v>80000</v>
      </c>
    </row>
    <row r="28" spans="1:6" x14ac:dyDescent="0.2">
      <c r="A28" s="93" t="str">
        <f>A14</f>
        <v>Packaging</v>
      </c>
      <c r="B28" s="100">
        <v>0</v>
      </c>
      <c r="C28" s="100">
        <v>0</v>
      </c>
      <c r="D28" s="94">
        <f t="shared" ref="D28:D32" si="0">SUM(B28:C28)</f>
        <v>0</v>
      </c>
    </row>
    <row r="29" spans="1:6" x14ac:dyDescent="0.2">
      <c r="A29" s="93" t="str">
        <f>A15</f>
        <v>Transportation Charges</v>
      </c>
      <c r="B29" s="100">
        <v>0</v>
      </c>
      <c r="C29" s="100">
        <v>0</v>
      </c>
      <c r="D29" s="94">
        <f t="shared" si="0"/>
        <v>0</v>
      </c>
    </row>
    <row r="30" spans="1:6" x14ac:dyDescent="0.2">
      <c r="A30" s="93" t="s">
        <v>740</v>
      </c>
      <c r="B30" s="100">
        <f>SUM(B27:B29)</f>
        <v>30000</v>
      </c>
      <c r="C30" s="100">
        <f>SUM(C27:C29)</f>
        <v>50000</v>
      </c>
      <c r="D30" s="94">
        <f t="shared" si="0"/>
        <v>80000</v>
      </c>
    </row>
    <row r="31" spans="1:6" x14ac:dyDescent="0.2">
      <c r="A31" s="93">
        <f>A17</f>
        <v>0</v>
      </c>
      <c r="B31" s="100"/>
      <c r="C31" s="100"/>
      <c r="D31" s="100"/>
    </row>
    <row r="32" spans="1:6" x14ac:dyDescent="0.2">
      <c r="A32" s="98" t="str">
        <f>A18</f>
        <v>Net Revenue to Farmers</v>
      </c>
      <c r="B32" s="105">
        <f>B24-B30</f>
        <v>25000</v>
      </c>
      <c r="C32" s="105">
        <f>C24-C30</f>
        <v>181000.00000000003</v>
      </c>
      <c r="D32" s="102">
        <f t="shared" si="0"/>
        <v>206000.00000000003</v>
      </c>
    </row>
    <row r="33" spans="1:4" x14ac:dyDescent="0.2">
      <c r="A33" s="93"/>
      <c r="B33" s="100"/>
      <c r="C33" s="100"/>
      <c r="D33" s="100"/>
    </row>
    <row r="34" spans="1:4" x14ac:dyDescent="0.2">
      <c r="A34" s="98" t="s">
        <v>743</v>
      </c>
      <c r="B34" s="102">
        <f>B32-B18</f>
        <v>22000</v>
      </c>
      <c r="C34" s="102">
        <f>C32-C18</f>
        <v>72000.000000000029</v>
      </c>
      <c r="D34" s="102">
        <f>SUM(B34:C34)</f>
        <v>94000.000000000029</v>
      </c>
    </row>
    <row r="35" spans="1:4" x14ac:dyDescent="0.2">
      <c r="B35" s="101"/>
      <c r="C35" s="101"/>
      <c r="D35" s="101"/>
    </row>
  </sheetData>
  <mergeCells count="1">
    <mergeCell ref="A1:D1"/>
  </mergeCells>
  <pageMargins left="0.7" right="0.7" top="0.75" bottom="0.75" header="0.3" footer="0.3"/>
  <pageSetup scale="9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D6:M11"/>
  <sheetViews>
    <sheetView workbookViewId="0">
      <selection activeCell="H11" sqref="H11"/>
    </sheetView>
  </sheetViews>
  <sheetFormatPr defaultRowHeight="15" x14ac:dyDescent="0.2"/>
  <cols>
    <col min="4" max="4" width="25.421875" bestFit="1" customWidth="1"/>
    <col min="5" max="5" width="6.72265625" bestFit="1" customWidth="1"/>
    <col min="6" max="6" width="15.6015625" bestFit="1" customWidth="1"/>
    <col min="7" max="7" width="7.80078125" bestFit="1" customWidth="1"/>
    <col min="8" max="8" width="7.3984375" bestFit="1" customWidth="1"/>
  </cols>
  <sheetData>
    <row r="6" spans="4:13" x14ac:dyDescent="0.2">
      <c r="D6" s="4" t="s">
        <v>772</v>
      </c>
      <c r="E6" s="4" t="s">
        <v>277</v>
      </c>
      <c r="F6" s="4" t="s">
        <v>773</v>
      </c>
      <c r="G6" s="4" t="s">
        <v>39</v>
      </c>
      <c r="H6" s="4" t="s">
        <v>774</v>
      </c>
      <c r="I6" s="4" t="s">
        <v>775</v>
      </c>
    </row>
    <row r="7" spans="4:13" x14ac:dyDescent="0.2">
      <c r="D7" s="4" t="s">
        <v>776</v>
      </c>
      <c r="E7" s="117">
        <f>'9.1 Financial indiacators'!C16</f>
        <v>0.10768087140037697</v>
      </c>
      <c r="F7" s="11">
        <f>'9.1 Financial indiacators'!C73</f>
        <v>929939.72628308833</v>
      </c>
      <c r="G7" s="117">
        <f>'9.1 Financial indiacators'!C49</f>
        <v>0.41380057061054665</v>
      </c>
      <c r="H7" s="117">
        <f>'9.1 Financial indiacators'!C85</f>
        <v>0.1794105967528952</v>
      </c>
      <c r="I7" s="118">
        <f>'9.1 Financial indiacators'!C119</f>
        <v>3.2368715676392115</v>
      </c>
    </row>
    <row r="8" spans="4:13" x14ac:dyDescent="0.2">
      <c r="D8" s="4" t="s">
        <v>777</v>
      </c>
      <c r="E8" s="106">
        <f>J8</f>
        <v>0.14475584825129606</v>
      </c>
      <c r="F8" s="11">
        <f t="shared" ref="F8:H11" si="0">K8</f>
        <v>4672702.2884260565</v>
      </c>
      <c r="G8" s="106">
        <f t="shared" si="0"/>
        <v>0.53819575902446726</v>
      </c>
      <c r="H8" s="106">
        <f t="shared" si="0"/>
        <v>0.15382938435110655</v>
      </c>
      <c r="I8" s="4">
        <f t="shared" ref="I8:I9" si="1">P8</f>
        <v>0</v>
      </c>
      <c r="J8">
        <v>0.14475584825129606</v>
      </c>
      <c r="K8">
        <v>4672702.2884260565</v>
      </c>
      <c r="L8">
        <v>0.53819575902446726</v>
      </c>
      <c r="M8">
        <v>0.15382938435110655</v>
      </c>
    </row>
    <row r="9" spans="4:13" x14ac:dyDescent="0.2">
      <c r="D9" s="4" t="s">
        <v>778</v>
      </c>
      <c r="E9" s="106" t="e">
        <f>J9</f>
        <v>#NUM!</v>
      </c>
      <c r="F9" s="11">
        <f t="shared" si="0"/>
        <v>-43521138.506004557</v>
      </c>
      <c r="G9" s="106">
        <f t="shared" si="0"/>
        <v>-0.5603201436645876</v>
      </c>
      <c r="H9" s="106">
        <f t="shared" si="0"/>
        <v>-0.29660763116718092</v>
      </c>
      <c r="I9" s="4">
        <f t="shared" si="1"/>
        <v>0</v>
      </c>
      <c r="J9" t="e">
        <v>#NUM!</v>
      </c>
      <c r="K9">
        <v>-43521138.506004557</v>
      </c>
      <c r="L9">
        <v>-0.5603201436645876</v>
      </c>
      <c r="M9">
        <v>-0.29660763116718092</v>
      </c>
    </row>
    <row r="10" spans="4:13" x14ac:dyDescent="0.2">
      <c r="D10" s="4" t="s">
        <v>779</v>
      </c>
      <c r="E10" s="106">
        <f>J10</f>
        <v>0.441147521562131</v>
      </c>
      <c r="F10" s="11">
        <f t="shared" si="0"/>
        <v>40563010.420581393</v>
      </c>
      <c r="G10" s="106">
        <f t="shared" si="0"/>
        <v>0.30011665036969515</v>
      </c>
      <c r="H10" s="106">
        <f t="shared" si="0"/>
        <v>0.48994366599561207</v>
      </c>
      <c r="I10" s="4" t="e">
        <v>#DIV/0!</v>
      </c>
      <c r="J10">
        <v>0.441147521562131</v>
      </c>
      <c r="K10">
        <v>40563010.420581393</v>
      </c>
      <c r="L10">
        <v>0.30011665036969515</v>
      </c>
      <c r="M10">
        <v>0.48994366599561207</v>
      </c>
    </row>
    <row r="11" spans="4:13" x14ac:dyDescent="0.2">
      <c r="D11" s="4" t="s">
        <v>780</v>
      </c>
      <c r="E11" s="106">
        <f>J11</f>
        <v>0.41086920331920673</v>
      </c>
      <c r="F11" s="11">
        <f t="shared" si="0"/>
        <v>35862451.349813282</v>
      </c>
      <c r="G11" s="106">
        <f t="shared" si="0"/>
        <v>0.32563035284385977</v>
      </c>
      <c r="H11" s="106">
        <f t="shared" si="0"/>
        <v>0.44879001476854657</v>
      </c>
      <c r="I11" s="4" t="e">
        <v>#DIV/0!</v>
      </c>
      <c r="J11">
        <v>0.41086920331920673</v>
      </c>
      <c r="K11">
        <v>35862451.349813282</v>
      </c>
      <c r="L11">
        <v>0.32563035284385977</v>
      </c>
      <c r="M11">
        <v>0.44879001476854657</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Z132"/>
  <sheetViews>
    <sheetView workbookViewId="0">
      <selection activeCell="A7" sqref="A7"/>
    </sheetView>
  </sheetViews>
  <sheetFormatPr defaultColWidth="8.7421875" defaultRowHeight="15" x14ac:dyDescent="0.2"/>
  <cols>
    <col min="1" max="1" width="44.2578125" style="92" bestFit="1" customWidth="1"/>
    <col min="2" max="2" width="23.26953125" style="92" bestFit="1" customWidth="1"/>
    <col min="3" max="3" width="11.56640625" style="92" customWidth="1"/>
    <col min="4" max="4" width="18.83203125" style="92" customWidth="1"/>
    <col min="5" max="5" width="15.19921875" style="92" customWidth="1"/>
    <col min="6" max="7" width="15.87109375" style="92" customWidth="1"/>
    <col min="8" max="8" width="21.25390625" style="92" customWidth="1"/>
    <col min="9" max="9" width="11.43359375" style="92" bestFit="1" customWidth="1"/>
    <col min="10" max="10" width="9.14453125" style="92" bestFit="1" customWidth="1"/>
    <col min="11" max="16384" width="8.7421875" style="92"/>
  </cols>
  <sheetData>
    <row r="1" spans="1:26" ht="18.75" x14ac:dyDescent="0.25">
      <c r="A1" s="427" t="s">
        <v>491</v>
      </c>
      <c r="B1" s="427"/>
      <c r="C1" s="427"/>
      <c r="D1" s="427"/>
      <c r="E1" s="427"/>
      <c r="F1" s="427"/>
      <c r="G1" s="427"/>
      <c r="H1" s="427"/>
    </row>
    <row r="2" spans="1:26" x14ac:dyDescent="0.2">
      <c r="B2" s="138"/>
    </row>
    <row r="3" spans="1:26" ht="18.75" x14ac:dyDescent="0.25">
      <c r="A3" s="476" t="s">
        <v>568</v>
      </c>
      <c r="B3" s="476"/>
    </row>
    <row r="4" spans="1:26" x14ac:dyDescent="0.2">
      <c r="A4" s="123" t="s">
        <v>0</v>
      </c>
      <c r="B4" s="139" t="s">
        <v>377</v>
      </c>
      <c r="C4" s="364"/>
      <c r="D4" s="364"/>
      <c r="E4" s="364"/>
      <c r="F4" s="364"/>
      <c r="G4" s="364"/>
      <c r="H4" s="364"/>
    </row>
    <row r="5" spans="1:26" x14ac:dyDescent="0.2">
      <c r="A5" s="93" t="s">
        <v>484</v>
      </c>
      <c r="B5" s="239">
        <v>320</v>
      </c>
      <c r="D5" s="365"/>
      <c r="E5" s="365"/>
      <c r="F5" s="365"/>
      <c r="G5" s="365"/>
      <c r="H5" s="365"/>
    </row>
    <row r="6" spans="1:26" x14ac:dyDescent="0.2">
      <c r="A6" s="93" t="s">
        <v>485</v>
      </c>
      <c r="B6" s="239">
        <v>152</v>
      </c>
      <c r="D6" s="365"/>
      <c r="E6" s="365"/>
      <c r="F6" s="365"/>
      <c r="G6" s="365"/>
      <c r="H6" s="365"/>
    </row>
    <row r="7" spans="1:26" x14ac:dyDescent="0.2">
      <c r="A7" s="98" t="s">
        <v>1</v>
      </c>
      <c r="B7" s="98">
        <f>B5+B6</f>
        <v>472</v>
      </c>
      <c r="C7" s="151"/>
      <c r="D7" s="366"/>
      <c r="E7" s="366"/>
      <c r="F7" s="366"/>
      <c r="G7" s="366"/>
      <c r="H7" s="366"/>
    </row>
    <row r="8" spans="1:26" x14ac:dyDescent="0.2">
      <c r="A8" s="98" t="s">
        <v>486</v>
      </c>
      <c r="B8" s="242">
        <v>2.5</v>
      </c>
      <c r="C8" s="151"/>
      <c r="D8" s="151"/>
      <c r="E8" s="151"/>
      <c r="F8" s="151"/>
      <c r="G8" s="151"/>
      <c r="H8" s="151"/>
    </row>
    <row r="9" spans="1:26" x14ac:dyDescent="0.2">
      <c r="A9" s="98" t="s">
        <v>487</v>
      </c>
      <c r="B9" s="98">
        <f>B7*B8</f>
        <v>1180</v>
      </c>
      <c r="C9" s="366"/>
      <c r="D9" s="366"/>
      <c r="E9" s="366"/>
      <c r="F9" s="366"/>
      <c r="G9" s="366"/>
      <c r="H9" s="366"/>
    </row>
    <row r="10" spans="1:26" x14ac:dyDescent="0.2">
      <c r="J10" s="92" t="s">
        <v>445</v>
      </c>
      <c r="O10" s="92" t="s">
        <v>441</v>
      </c>
      <c r="U10" s="92" t="s">
        <v>442</v>
      </c>
      <c r="Y10" s="92" t="s">
        <v>443</v>
      </c>
      <c r="Z10" s="92" t="s">
        <v>444</v>
      </c>
    </row>
    <row r="11" spans="1:26" ht="18.75" x14ac:dyDescent="0.25">
      <c r="A11" s="427" t="s">
        <v>569</v>
      </c>
      <c r="B11" s="427"/>
      <c r="C11" s="427"/>
      <c r="D11" s="427"/>
      <c r="E11" s="427"/>
      <c r="F11" s="427"/>
      <c r="G11" s="427"/>
      <c r="H11" s="427"/>
      <c r="I11" s="151"/>
      <c r="J11" s="151"/>
      <c r="K11" s="151"/>
      <c r="L11" s="151"/>
      <c r="M11" s="151"/>
      <c r="N11" s="151"/>
      <c r="O11" s="151"/>
      <c r="P11" s="151"/>
    </row>
    <row r="12" spans="1:26" x14ac:dyDescent="0.2">
      <c r="J12" s="173">
        <v>0.65</v>
      </c>
      <c r="K12" s="367">
        <f>J12+0.05</f>
        <v>0.70000000000000007</v>
      </c>
      <c r="L12" s="367">
        <f t="shared" ref="L12:N12" si="0">K12+0.05</f>
        <v>0.75000000000000011</v>
      </c>
      <c r="M12" s="367">
        <f t="shared" si="0"/>
        <v>0.80000000000000016</v>
      </c>
      <c r="N12" s="367">
        <f t="shared" si="0"/>
        <v>0.8500000000000002</v>
      </c>
      <c r="O12" s="173">
        <v>0.4</v>
      </c>
      <c r="P12" s="173">
        <f>O12+0.05</f>
        <v>0.45</v>
      </c>
      <c r="Q12" s="173">
        <f t="shared" ref="Q12:T12" si="1">P12+0.05</f>
        <v>0.5</v>
      </c>
      <c r="R12" s="173">
        <f t="shared" si="1"/>
        <v>0.55000000000000004</v>
      </c>
      <c r="S12" s="173">
        <f t="shared" si="1"/>
        <v>0.60000000000000009</v>
      </c>
      <c r="T12" s="173">
        <f t="shared" si="1"/>
        <v>0.65000000000000013</v>
      </c>
      <c r="U12" s="173">
        <v>0.1</v>
      </c>
      <c r="V12" s="150">
        <f>U12+0.05</f>
        <v>0.15000000000000002</v>
      </c>
      <c r="W12" s="150">
        <f t="shared" ref="W12:X12" si="2">V12+0.05</f>
        <v>0.2</v>
      </c>
      <c r="X12" s="150">
        <f t="shared" si="2"/>
        <v>0.25</v>
      </c>
    </row>
    <row r="13" spans="1:26" ht="25.5" x14ac:dyDescent="0.2">
      <c r="A13" s="123" t="s">
        <v>381</v>
      </c>
      <c r="B13" s="123" t="s">
        <v>382</v>
      </c>
      <c r="C13" s="368" t="s">
        <v>437</v>
      </c>
      <c r="D13" s="368" t="s">
        <v>446</v>
      </c>
      <c r="E13" s="368" t="s">
        <v>447</v>
      </c>
      <c r="F13" s="368" t="s">
        <v>383</v>
      </c>
      <c r="G13" s="368" t="s">
        <v>438</v>
      </c>
      <c r="H13" s="368" t="s">
        <v>384</v>
      </c>
      <c r="O13" s="369" t="s">
        <v>2</v>
      </c>
      <c r="P13" s="369" t="s">
        <v>3</v>
      </c>
      <c r="Q13" s="369" t="s">
        <v>4</v>
      </c>
      <c r="R13" s="369" t="s">
        <v>5</v>
      </c>
      <c r="S13" s="369" t="s">
        <v>6</v>
      </c>
      <c r="T13" s="369" t="s">
        <v>2</v>
      </c>
      <c r="U13" s="369" t="s">
        <v>3</v>
      </c>
      <c r="V13" s="369" t="s">
        <v>4</v>
      </c>
      <c r="W13" s="369" t="s">
        <v>5</v>
      </c>
      <c r="X13" s="369" t="s">
        <v>6</v>
      </c>
    </row>
    <row r="14" spans="1:26" x14ac:dyDescent="0.2">
      <c r="A14" s="480" t="s">
        <v>385</v>
      </c>
      <c r="B14" s="239" t="s">
        <v>474</v>
      </c>
      <c r="C14" s="370">
        <v>0</v>
      </c>
      <c r="D14" s="93">
        <f t="shared" ref="D14:D40" si="3">$B$9*C14</f>
        <v>0</v>
      </c>
      <c r="E14" s="371">
        <v>15</v>
      </c>
      <c r="F14" s="93">
        <f>D14*E14</f>
        <v>0</v>
      </c>
      <c r="G14" s="260">
        <v>0.1</v>
      </c>
      <c r="H14" s="93">
        <f>(F14-F14*G14)</f>
        <v>0</v>
      </c>
      <c r="J14" s="92">
        <f>$D$14*J12</f>
        <v>0</v>
      </c>
      <c r="K14" s="92">
        <f>$D$14*K12</f>
        <v>0</v>
      </c>
      <c r="L14" s="92">
        <f>$D$14*L12</f>
        <v>0</v>
      </c>
      <c r="M14" s="92">
        <f>$D$14*M12</f>
        <v>0</v>
      </c>
      <c r="N14" s="92">
        <f>$D$14*N12</f>
        <v>0</v>
      </c>
    </row>
    <row r="15" spans="1:26" x14ac:dyDescent="0.2">
      <c r="A15" s="481"/>
      <c r="B15" s="239" t="s">
        <v>475</v>
      </c>
      <c r="C15" s="370">
        <v>0</v>
      </c>
      <c r="D15" s="93">
        <f t="shared" si="3"/>
        <v>0</v>
      </c>
      <c r="E15" s="371">
        <v>7</v>
      </c>
      <c r="F15" s="93">
        <f t="shared" ref="F15:F40" si="4">D15*E15</f>
        <v>0</v>
      </c>
      <c r="G15" s="260">
        <v>0.05</v>
      </c>
      <c r="H15" s="93">
        <f>(F15-F15*G15)</f>
        <v>0</v>
      </c>
    </row>
    <row r="16" spans="1:26" x14ac:dyDescent="0.2">
      <c r="A16" s="481"/>
      <c r="B16" s="239" t="s">
        <v>476</v>
      </c>
      <c r="C16" s="370">
        <v>0</v>
      </c>
      <c r="D16" s="93">
        <f t="shared" si="3"/>
        <v>0</v>
      </c>
      <c r="E16" s="371">
        <v>4</v>
      </c>
      <c r="F16" s="93">
        <f t="shared" si="4"/>
        <v>0</v>
      </c>
      <c r="G16" s="260">
        <v>0</v>
      </c>
      <c r="H16" s="93">
        <f t="shared" ref="H16:H40" si="5">(F16-F16*G16)</f>
        <v>0</v>
      </c>
    </row>
    <row r="17" spans="1:8" x14ac:dyDescent="0.2">
      <c r="A17" s="481"/>
      <c r="B17" s="239" t="s">
        <v>477</v>
      </c>
      <c r="C17" s="370">
        <v>0</v>
      </c>
      <c r="D17" s="93">
        <f t="shared" si="3"/>
        <v>0</v>
      </c>
      <c r="E17" s="371">
        <v>7</v>
      </c>
      <c r="F17" s="93">
        <f t="shared" si="4"/>
        <v>0</v>
      </c>
      <c r="G17" s="260">
        <v>0.02</v>
      </c>
      <c r="H17" s="93">
        <f t="shared" si="5"/>
        <v>0</v>
      </c>
    </row>
    <row r="18" spans="1:8" x14ac:dyDescent="0.2">
      <c r="A18" s="481"/>
      <c r="B18" s="239" t="s">
        <v>479</v>
      </c>
      <c r="C18" s="370">
        <v>0</v>
      </c>
      <c r="D18" s="93">
        <f t="shared" si="3"/>
        <v>0</v>
      </c>
      <c r="E18" s="371">
        <v>20</v>
      </c>
      <c r="F18" s="93">
        <f t="shared" si="4"/>
        <v>0</v>
      </c>
      <c r="G18" s="260">
        <v>0</v>
      </c>
      <c r="H18" s="93">
        <f t="shared" si="5"/>
        <v>0</v>
      </c>
    </row>
    <row r="19" spans="1:8" x14ac:dyDescent="0.2">
      <c r="A19" s="481"/>
      <c r="B19" s="239" t="s">
        <v>853</v>
      </c>
      <c r="C19" s="370">
        <v>0</v>
      </c>
      <c r="D19" s="93">
        <f t="shared" si="3"/>
        <v>0</v>
      </c>
      <c r="E19" s="371">
        <v>7</v>
      </c>
      <c r="F19" s="93">
        <f t="shared" si="4"/>
        <v>0</v>
      </c>
      <c r="G19" s="260">
        <v>0.1</v>
      </c>
      <c r="H19" s="93">
        <f t="shared" si="5"/>
        <v>0</v>
      </c>
    </row>
    <row r="20" spans="1:8" x14ac:dyDescent="0.2">
      <c r="A20" s="481"/>
      <c r="B20" s="239"/>
      <c r="C20" s="370">
        <v>0</v>
      </c>
      <c r="D20" s="93">
        <f t="shared" si="3"/>
        <v>0</v>
      </c>
      <c r="E20" s="371">
        <v>6</v>
      </c>
      <c r="F20" s="93">
        <f t="shared" si="4"/>
        <v>0</v>
      </c>
      <c r="G20" s="260">
        <v>0.02</v>
      </c>
      <c r="H20" s="93">
        <f t="shared" si="5"/>
        <v>0</v>
      </c>
    </row>
    <row r="21" spans="1:8" x14ac:dyDescent="0.2">
      <c r="A21" s="481"/>
      <c r="B21" s="239"/>
      <c r="C21" s="370">
        <v>0</v>
      </c>
      <c r="D21" s="93">
        <f t="shared" si="3"/>
        <v>0</v>
      </c>
      <c r="E21" s="371"/>
      <c r="F21" s="93">
        <f t="shared" si="4"/>
        <v>0</v>
      </c>
      <c r="G21" s="260">
        <v>0</v>
      </c>
      <c r="H21" s="93">
        <f t="shared" si="5"/>
        <v>0</v>
      </c>
    </row>
    <row r="22" spans="1:8" x14ac:dyDescent="0.2">
      <c r="A22" s="482"/>
      <c r="B22" s="239"/>
      <c r="C22" s="370">
        <v>0</v>
      </c>
      <c r="D22" s="93">
        <f t="shared" si="3"/>
        <v>0</v>
      </c>
      <c r="E22" s="371"/>
      <c r="F22" s="93">
        <f t="shared" si="4"/>
        <v>0</v>
      </c>
      <c r="G22" s="260">
        <v>0</v>
      </c>
      <c r="H22" s="93">
        <f t="shared" si="5"/>
        <v>0</v>
      </c>
    </row>
    <row r="23" spans="1:8" x14ac:dyDescent="0.2">
      <c r="A23" s="382" t="s">
        <v>492</v>
      </c>
      <c r="B23" s="262">
        <v>0.8</v>
      </c>
      <c r="C23" s="383">
        <f>B9*B23</f>
        <v>944</v>
      </c>
      <c r="D23" s="93"/>
      <c r="E23" s="371"/>
      <c r="F23" s="93"/>
      <c r="G23" s="260"/>
      <c r="H23" s="93"/>
    </row>
    <row r="24" spans="1:8" x14ac:dyDescent="0.2">
      <c r="A24" s="480" t="s">
        <v>387</v>
      </c>
      <c r="B24" s="239" t="s">
        <v>474</v>
      </c>
      <c r="C24" s="370">
        <v>0</v>
      </c>
      <c r="D24" s="93">
        <f>C$23*C24</f>
        <v>0</v>
      </c>
      <c r="E24" s="371">
        <v>10</v>
      </c>
      <c r="F24" s="93">
        <f t="shared" si="4"/>
        <v>0</v>
      </c>
      <c r="G24" s="260">
        <v>0.1</v>
      </c>
      <c r="H24" s="93">
        <f t="shared" si="5"/>
        <v>0</v>
      </c>
    </row>
    <row r="25" spans="1:8" x14ac:dyDescent="0.2">
      <c r="A25" s="481"/>
      <c r="B25" s="239" t="s">
        <v>475</v>
      </c>
      <c r="C25" s="370">
        <v>0</v>
      </c>
      <c r="D25" s="93">
        <f>C$23*C25</f>
        <v>0</v>
      </c>
      <c r="E25" s="371">
        <v>10</v>
      </c>
      <c r="F25" s="93">
        <f t="shared" si="4"/>
        <v>0</v>
      </c>
      <c r="G25" s="260">
        <v>0.1</v>
      </c>
      <c r="H25" s="93">
        <f t="shared" si="5"/>
        <v>0</v>
      </c>
    </row>
    <row r="26" spans="1:8" x14ac:dyDescent="0.2">
      <c r="A26" s="481"/>
      <c r="B26" s="239" t="s">
        <v>476</v>
      </c>
      <c r="C26" s="370">
        <v>0</v>
      </c>
      <c r="D26" s="93">
        <f>C$23*C26</f>
        <v>0</v>
      </c>
      <c r="E26" s="371">
        <v>10</v>
      </c>
      <c r="F26" s="93">
        <f t="shared" si="4"/>
        <v>0</v>
      </c>
      <c r="G26" s="260">
        <v>0.05</v>
      </c>
      <c r="H26" s="93">
        <f t="shared" si="5"/>
        <v>0</v>
      </c>
    </row>
    <row r="27" spans="1:8" x14ac:dyDescent="0.2">
      <c r="A27" s="481"/>
      <c r="B27" s="239" t="s">
        <v>477</v>
      </c>
      <c r="C27" s="370">
        <v>0</v>
      </c>
      <c r="D27" s="93">
        <f t="shared" ref="D27:D31" si="6">C$23*C27</f>
        <v>0</v>
      </c>
      <c r="E27" s="371">
        <v>20</v>
      </c>
      <c r="F27" s="93">
        <f t="shared" si="4"/>
        <v>0</v>
      </c>
      <c r="G27" s="260">
        <v>0</v>
      </c>
      <c r="H27" s="93">
        <f t="shared" si="5"/>
        <v>0</v>
      </c>
    </row>
    <row r="28" spans="1:8" x14ac:dyDescent="0.2">
      <c r="A28" s="481"/>
      <c r="B28" s="239" t="s">
        <v>853</v>
      </c>
      <c r="C28" s="370">
        <v>0.5</v>
      </c>
      <c r="D28" s="93">
        <f t="shared" si="6"/>
        <v>472</v>
      </c>
      <c r="E28" s="371">
        <v>150</v>
      </c>
      <c r="F28" s="93">
        <f t="shared" si="4"/>
        <v>70800</v>
      </c>
      <c r="G28" s="260">
        <v>0.05</v>
      </c>
      <c r="H28" s="93">
        <f t="shared" si="5"/>
        <v>67260</v>
      </c>
    </row>
    <row r="29" spans="1:8" x14ac:dyDescent="0.2">
      <c r="A29" s="481"/>
      <c r="B29" s="239"/>
      <c r="C29" s="370">
        <v>0</v>
      </c>
      <c r="D29" s="93">
        <f t="shared" si="6"/>
        <v>0</v>
      </c>
      <c r="E29" s="371"/>
      <c r="F29" s="93">
        <f t="shared" si="4"/>
        <v>0</v>
      </c>
      <c r="G29" s="260">
        <v>0</v>
      </c>
      <c r="H29" s="93">
        <f t="shared" si="5"/>
        <v>0</v>
      </c>
    </row>
    <row r="30" spans="1:8" x14ac:dyDescent="0.2">
      <c r="A30" s="481"/>
      <c r="B30" s="239"/>
      <c r="C30" s="370">
        <v>0</v>
      </c>
      <c r="D30" s="93">
        <f t="shared" si="6"/>
        <v>0</v>
      </c>
      <c r="E30" s="371"/>
      <c r="F30" s="93">
        <f t="shared" si="4"/>
        <v>0</v>
      </c>
      <c r="G30" s="260">
        <v>0</v>
      </c>
      <c r="H30" s="93">
        <f t="shared" si="5"/>
        <v>0</v>
      </c>
    </row>
    <row r="31" spans="1:8" x14ac:dyDescent="0.2">
      <c r="A31" s="482"/>
      <c r="B31" s="239"/>
      <c r="C31" s="370">
        <v>0</v>
      </c>
      <c r="D31" s="93">
        <f t="shared" si="6"/>
        <v>0</v>
      </c>
      <c r="E31" s="371"/>
      <c r="F31" s="93">
        <f t="shared" si="4"/>
        <v>0</v>
      </c>
      <c r="G31" s="260">
        <v>0</v>
      </c>
      <c r="H31" s="93">
        <f t="shared" si="5"/>
        <v>0</v>
      </c>
    </row>
    <row r="32" spans="1:8" x14ac:dyDescent="0.2">
      <c r="A32" s="382" t="s">
        <v>493</v>
      </c>
      <c r="B32" s="262">
        <v>0</v>
      </c>
      <c r="C32" s="239">
        <f>B9*B32</f>
        <v>0</v>
      </c>
      <c r="D32" s="93"/>
      <c r="E32" s="371"/>
      <c r="F32" s="93"/>
      <c r="G32" s="260"/>
      <c r="H32" s="93"/>
    </row>
    <row r="33" spans="1:8" x14ac:dyDescent="0.2">
      <c r="A33" s="374" t="s">
        <v>450</v>
      </c>
      <c r="B33" s="239"/>
      <c r="C33" s="370">
        <v>0</v>
      </c>
      <c r="D33" s="93">
        <f>C$32*C33</f>
        <v>0</v>
      </c>
      <c r="E33" s="371"/>
      <c r="F33" s="93">
        <f t="shared" si="4"/>
        <v>0</v>
      </c>
      <c r="G33" s="260">
        <v>0</v>
      </c>
      <c r="H33" s="93">
        <f t="shared" si="5"/>
        <v>0</v>
      </c>
    </row>
    <row r="34" spans="1:8" x14ac:dyDescent="0.2">
      <c r="A34" s="375"/>
      <c r="B34" s="239"/>
      <c r="C34" s="370">
        <v>0</v>
      </c>
      <c r="D34" s="93">
        <f>C$32*C34</f>
        <v>0</v>
      </c>
      <c r="E34" s="371"/>
      <c r="F34" s="93">
        <f t="shared" si="4"/>
        <v>0</v>
      </c>
      <c r="G34" s="260">
        <v>0</v>
      </c>
      <c r="H34" s="93">
        <f t="shared" si="5"/>
        <v>0</v>
      </c>
    </row>
    <row r="35" spans="1:8" x14ac:dyDescent="0.2">
      <c r="A35" s="375"/>
      <c r="B35" s="239"/>
      <c r="C35" s="370">
        <v>0</v>
      </c>
      <c r="D35" s="93">
        <f>C$32*C35</f>
        <v>0</v>
      </c>
      <c r="E35" s="371"/>
      <c r="F35" s="93">
        <f t="shared" si="4"/>
        <v>0</v>
      </c>
      <c r="G35" s="260">
        <v>0</v>
      </c>
      <c r="H35" s="93">
        <f t="shared" si="5"/>
        <v>0</v>
      </c>
    </row>
    <row r="36" spans="1:8" x14ac:dyDescent="0.2">
      <c r="A36" s="376"/>
      <c r="B36" s="239"/>
      <c r="C36" s="370">
        <v>0</v>
      </c>
      <c r="D36" s="93">
        <f>C$32*C36</f>
        <v>0</v>
      </c>
      <c r="E36" s="371"/>
      <c r="F36" s="93">
        <f t="shared" si="4"/>
        <v>0</v>
      </c>
      <c r="G36" s="260">
        <v>0</v>
      </c>
      <c r="H36" s="93">
        <f t="shared" si="5"/>
        <v>0</v>
      </c>
    </row>
    <row r="37" spans="1:8" x14ac:dyDescent="0.2">
      <c r="A37" s="434" t="s">
        <v>494</v>
      </c>
      <c r="B37" s="239" t="s">
        <v>480</v>
      </c>
      <c r="C37" s="370">
        <v>0</v>
      </c>
      <c r="D37" s="93">
        <f t="shared" si="3"/>
        <v>0</v>
      </c>
      <c r="E37" s="371">
        <v>6</v>
      </c>
      <c r="F37" s="93">
        <f t="shared" si="4"/>
        <v>0</v>
      </c>
      <c r="G37" s="260">
        <v>0.05</v>
      </c>
      <c r="H37" s="93">
        <f t="shared" si="5"/>
        <v>0</v>
      </c>
    </row>
    <row r="38" spans="1:8" x14ac:dyDescent="0.2">
      <c r="A38" s="434"/>
      <c r="B38" s="239" t="s">
        <v>481</v>
      </c>
      <c r="C38" s="370">
        <v>0</v>
      </c>
      <c r="D38" s="93">
        <f t="shared" si="3"/>
        <v>0</v>
      </c>
      <c r="E38" s="371"/>
      <c r="F38" s="93">
        <f t="shared" si="4"/>
        <v>0</v>
      </c>
      <c r="G38" s="260">
        <v>0</v>
      </c>
      <c r="H38" s="93">
        <f t="shared" si="5"/>
        <v>0</v>
      </c>
    </row>
    <row r="39" spans="1:8" x14ac:dyDescent="0.2">
      <c r="A39" s="434"/>
      <c r="B39" s="239" t="s">
        <v>482</v>
      </c>
      <c r="C39" s="370">
        <v>0</v>
      </c>
      <c r="D39" s="93">
        <f t="shared" si="3"/>
        <v>0</v>
      </c>
      <c r="E39" s="371"/>
      <c r="F39" s="93">
        <f t="shared" si="4"/>
        <v>0</v>
      </c>
      <c r="G39" s="260">
        <v>0</v>
      </c>
      <c r="H39" s="93">
        <f t="shared" si="5"/>
        <v>0</v>
      </c>
    </row>
    <row r="40" spans="1:8" x14ac:dyDescent="0.2">
      <c r="A40" s="434"/>
      <c r="B40" s="239" t="s">
        <v>483</v>
      </c>
      <c r="C40" s="370">
        <v>0</v>
      </c>
      <c r="D40" s="93">
        <f t="shared" si="3"/>
        <v>0</v>
      </c>
      <c r="E40" s="371"/>
      <c r="F40" s="93">
        <f t="shared" si="4"/>
        <v>0</v>
      </c>
      <c r="G40" s="260">
        <v>0</v>
      </c>
      <c r="H40" s="93">
        <f t="shared" si="5"/>
        <v>0</v>
      </c>
    </row>
    <row r="41" spans="1:8" x14ac:dyDescent="0.2">
      <c r="A41" s="479" t="s">
        <v>391</v>
      </c>
      <c r="B41" s="479"/>
      <c r="C41" s="479"/>
      <c r="D41" s="479"/>
      <c r="E41" s="479"/>
      <c r="F41" s="479"/>
      <c r="G41" s="479"/>
      <c r="H41" s="479"/>
    </row>
    <row r="43" spans="1:8" ht="18.75" x14ac:dyDescent="0.25">
      <c r="A43" s="483" t="s">
        <v>570</v>
      </c>
      <c r="B43" s="484"/>
      <c r="C43" s="484"/>
      <c r="D43" s="484"/>
      <c r="E43" s="484"/>
      <c r="F43" s="484"/>
      <c r="G43" s="484"/>
      <c r="H43" s="485"/>
    </row>
    <row r="44" spans="1:8" x14ac:dyDescent="0.2">
      <c r="A44" s="486" t="s">
        <v>0</v>
      </c>
      <c r="B44" s="377">
        <v>0.99</v>
      </c>
      <c r="C44" s="377">
        <f>B44+0.05</f>
        <v>1.04</v>
      </c>
      <c r="D44" s="377">
        <f t="shared" ref="D44:G44" si="7">C44+0.05</f>
        <v>1.0900000000000001</v>
      </c>
      <c r="E44" s="377">
        <f t="shared" si="7"/>
        <v>1.1400000000000001</v>
      </c>
      <c r="F44" s="377">
        <f t="shared" si="7"/>
        <v>1.1900000000000002</v>
      </c>
      <c r="G44" s="377">
        <f t="shared" si="7"/>
        <v>1.2400000000000002</v>
      </c>
      <c r="H44" s="377">
        <f>G44+0.05</f>
        <v>1.2900000000000003</v>
      </c>
    </row>
    <row r="45" spans="1:8" x14ac:dyDescent="0.2">
      <c r="A45" s="487"/>
      <c r="B45" s="139" t="s">
        <v>2</v>
      </c>
      <c r="C45" s="139" t="s">
        <v>3</v>
      </c>
      <c r="D45" s="139" t="s">
        <v>4</v>
      </c>
      <c r="E45" s="139" t="s">
        <v>5</v>
      </c>
      <c r="F45" s="139" t="s">
        <v>6</v>
      </c>
      <c r="G45" s="139" t="s">
        <v>168</v>
      </c>
      <c r="H45" s="139" t="s">
        <v>167</v>
      </c>
    </row>
    <row r="46" spans="1:8" x14ac:dyDescent="0.2">
      <c r="A46" s="93" t="str">
        <f t="shared" ref="A46:A54" si="8">B14</f>
        <v>Onion</v>
      </c>
      <c r="B46" s="93">
        <f t="shared" ref="B46:B54" si="9">H14*$B$44</f>
        <v>0</v>
      </c>
      <c r="C46" s="93">
        <f t="shared" ref="C46:H61" si="10">(B46/B$44)*C$44</f>
        <v>0</v>
      </c>
      <c r="D46" s="93">
        <f t="shared" si="10"/>
        <v>0</v>
      </c>
      <c r="E46" s="93">
        <f t="shared" si="10"/>
        <v>0</v>
      </c>
      <c r="F46" s="93">
        <f t="shared" si="10"/>
        <v>0</v>
      </c>
      <c r="G46" s="93">
        <f t="shared" si="10"/>
        <v>0</v>
      </c>
      <c r="H46" s="93">
        <f t="shared" si="10"/>
        <v>0</v>
      </c>
    </row>
    <row r="47" spans="1:8" x14ac:dyDescent="0.2">
      <c r="A47" s="93" t="str">
        <f t="shared" si="8"/>
        <v>Tomato</v>
      </c>
      <c r="B47" s="93">
        <f t="shared" si="9"/>
        <v>0</v>
      </c>
      <c r="C47" s="93">
        <f t="shared" si="10"/>
        <v>0</v>
      </c>
      <c r="D47" s="93">
        <f t="shared" si="10"/>
        <v>0</v>
      </c>
      <c r="E47" s="93">
        <f t="shared" si="10"/>
        <v>0</v>
      </c>
      <c r="F47" s="93">
        <f t="shared" si="10"/>
        <v>0</v>
      </c>
      <c r="G47" s="93">
        <f t="shared" si="10"/>
        <v>0</v>
      </c>
      <c r="H47" s="93">
        <f t="shared" si="10"/>
        <v>0</v>
      </c>
    </row>
    <row r="48" spans="1:8" x14ac:dyDescent="0.2">
      <c r="A48" s="93" t="str">
        <f t="shared" si="8"/>
        <v>Okra</v>
      </c>
      <c r="B48" s="93">
        <f t="shared" si="9"/>
        <v>0</v>
      </c>
      <c r="C48" s="93">
        <f t="shared" si="10"/>
        <v>0</v>
      </c>
      <c r="D48" s="93">
        <f t="shared" si="10"/>
        <v>0</v>
      </c>
      <c r="E48" s="93">
        <f t="shared" si="10"/>
        <v>0</v>
      </c>
      <c r="F48" s="93">
        <f t="shared" si="10"/>
        <v>0</v>
      </c>
      <c r="G48" s="93">
        <f t="shared" si="10"/>
        <v>0</v>
      </c>
      <c r="H48" s="93">
        <f t="shared" si="10"/>
        <v>0</v>
      </c>
    </row>
    <row r="49" spans="1:8" x14ac:dyDescent="0.2">
      <c r="A49" s="93" t="str">
        <f t="shared" si="8"/>
        <v>Chilli</v>
      </c>
      <c r="B49" s="93">
        <f t="shared" si="9"/>
        <v>0</v>
      </c>
      <c r="C49" s="93">
        <f t="shared" si="10"/>
        <v>0</v>
      </c>
      <c r="D49" s="93">
        <f t="shared" si="10"/>
        <v>0</v>
      </c>
      <c r="E49" s="93">
        <f t="shared" si="10"/>
        <v>0</v>
      </c>
      <c r="F49" s="93">
        <f t="shared" si="10"/>
        <v>0</v>
      </c>
      <c r="G49" s="93">
        <f t="shared" si="10"/>
        <v>0</v>
      </c>
      <c r="H49" s="93">
        <f t="shared" si="10"/>
        <v>0</v>
      </c>
    </row>
    <row r="50" spans="1:8" x14ac:dyDescent="0.2">
      <c r="A50" s="93" t="str">
        <f t="shared" si="8"/>
        <v>Potato</v>
      </c>
      <c r="B50" s="93">
        <f t="shared" si="9"/>
        <v>0</v>
      </c>
      <c r="C50" s="93">
        <f t="shared" si="10"/>
        <v>0</v>
      </c>
      <c r="D50" s="93">
        <f t="shared" si="10"/>
        <v>0</v>
      </c>
      <c r="E50" s="93">
        <f t="shared" si="10"/>
        <v>0</v>
      </c>
      <c r="F50" s="93">
        <f t="shared" si="10"/>
        <v>0</v>
      </c>
      <c r="G50" s="93">
        <f t="shared" si="10"/>
        <v>0</v>
      </c>
      <c r="H50" s="93">
        <f t="shared" si="10"/>
        <v>0</v>
      </c>
    </row>
    <row r="51" spans="1:8" x14ac:dyDescent="0.2">
      <c r="A51" s="93" t="str">
        <f t="shared" si="8"/>
        <v>Strawberry</v>
      </c>
      <c r="B51" s="93">
        <f t="shared" si="9"/>
        <v>0</v>
      </c>
      <c r="C51" s="93">
        <f t="shared" si="10"/>
        <v>0</v>
      </c>
      <c r="D51" s="93">
        <f t="shared" si="10"/>
        <v>0</v>
      </c>
      <c r="E51" s="93">
        <f t="shared" si="10"/>
        <v>0</v>
      </c>
      <c r="F51" s="93">
        <f t="shared" si="10"/>
        <v>0</v>
      </c>
      <c r="G51" s="93">
        <f t="shared" si="10"/>
        <v>0</v>
      </c>
      <c r="H51" s="93">
        <f t="shared" si="10"/>
        <v>0</v>
      </c>
    </row>
    <row r="52" spans="1:8" x14ac:dyDescent="0.2">
      <c r="A52" s="93">
        <f t="shared" si="8"/>
        <v>0</v>
      </c>
      <c r="B52" s="93">
        <f t="shared" si="9"/>
        <v>0</v>
      </c>
      <c r="C52" s="93">
        <f t="shared" si="10"/>
        <v>0</v>
      </c>
      <c r="D52" s="93">
        <f t="shared" si="10"/>
        <v>0</v>
      </c>
      <c r="E52" s="93">
        <f t="shared" si="10"/>
        <v>0</v>
      </c>
      <c r="F52" s="93">
        <f t="shared" si="10"/>
        <v>0</v>
      </c>
      <c r="G52" s="93">
        <f t="shared" si="10"/>
        <v>0</v>
      </c>
      <c r="H52" s="93">
        <f t="shared" si="10"/>
        <v>0</v>
      </c>
    </row>
    <row r="53" spans="1:8" x14ac:dyDescent="0.2">
      <c r="A53" s="93">
        <f t="shared" si="8"/>
        <v>0</v>
      </c>
      <c r="B53" s="93">
        <f t="shared" si="9"/>
        <v>0</v>
      </c>
      <c r="C53" s="93">
        <f t="shared" si="10"/>
        <v>0</v>
      </c>
      <c r="D53" s="93">
        <f t="shared" si="10"/>
        <v>0</v>
      </c>
      <c r="E53" s="93">
        <f t="shared" si="10"/>
        <v>0</v>
      </c>
      <c r="F53" s="93">
        <f t="shared" si="10"/>
        <v>0</v>
      </c>
      <c r="G53" s="93">
        <f t="shared" si="10"/>
        <v>0</v>
      </c>
      <c r="H53" s="93">
        <f t="shared" si="10"/>
        <v>0</v>
      </c>
    </row>
    <row r="54" spans="1:8" x14ac:dyDescent="0.2">
      <c r="A54" s="93">
        <f t="shared" si="8"/>
        <v>0</v>
      </c>
      <c r="B54" s="93">
        <f t="shared" si="9"/>
        <v>0</v>
      </c>
      <c r="C54" s="93">
        <f t="shared" si="10"/>
        <v>0</v>
      </c>
      <c r="D54" s="93">
        <f t="shared" si="10"/>
        <v>0</v>
      </c>
      <c r="E54" s="93">
        <f t="shared" si="10"/>
        <v>0</v>
      </c>
      <c r="F54" s="93">
        <f t="shared" si="10"/>
        <v>0</v>
      </c>
      <c r="G54" s="93">
        <f t="shared" si="10"/>
        <v>0</v>
      </c>
      <c r="H54" s="93">
        <f t="shared" si="10"/>
        <v>0</v>
      </c>
    </row>
    <row r="55" spans="1:8" x14ac:dyDescent="0.2">
      <c r="A55" s="93" t="str">
        <f t="shared" ref="A55:A62" si="11">B24</f>
        <v>Onion</v>
      </c>
      <c r="B55" s="93">
        <f t="shared" ref="B55:B62" si="12">H24*$B$44</f>
        <v>0</v>
      </c>
      <c r="C55" s="93">
        <f t="shared" si="10"/>
        <v>0</v>
      </c>
      <c r="D55" s="93">
        <f t="shared" si="10"/>
        <v>0</v>
      </c>
      <c r="E55" s="93">
        <f t="shared" si="10"/>
        <v>0</v>
      </c>
      <c r="F55" s="93">
        <f t="shared" si="10"/>
        <v>0</v>
      </c>
      <c r="G55" s="93">
        <f t="shared" si="10"/>
        <v>0</v>
      </c>
      <c r="H55" s="93">
        <f t="shared" si="10"/>
        <v>0</v>
      </c>
    </row>
    <row r="56" spans="1:8" x14ac:dyDescent="0.2">
      <c r="A56" s="93" t="str">
        <f t="shared" si="11"/>
        <v>Tomato</v>
      </c>
      <c r="B56" s="93">
        <f t="shared" si="12"/>
        <v>0</v>
      </c>
      <c r="C56" s="93">
        <f t="shared" si="10"/>
        <v>0</v>
      </c>
      <c r="D56" s="93">
        <f t="shared" si="10"/>
        <v>0</v>
      </c>
      <c r="E56" s="93">
        <f t="shared" si="10"/>
        <v>0</v>
      </c>
      <c r="F56" s="93">
        <f t="shared" si="10"/>
        <v>0</v>
      </c>
      <c r="G56" s="93">
        <f t="shared" si="10"/>
        <v>0</v>
      </c>
      <c r="H56" s="93">
        <f t="shared" si="10"/>
        <v>0</v>
      </c>
    </row>
    <row r="57" spans="1:8" x14ac:dyDescent="0.2">
      <c r="A57" s="93" t="str">
        <f t="shared" si="11"/>
        <v>Okra</v>
      </c>
      <c r="B57" s="93">
        <f t="shared" si="12"/>
        <v>0</v>
      </c>
      <c r="C57" s="93">
        <f t="shared" si="10"/>
        <v>0</v>
      </c>
      <c r="D57" s="93">
        <f t="shared" si="10"/>
        <v>0</v>
      </c>
      <c r="E57" s="93">
        <f t="shared" si="10"/>
        <v>0</v>
      </c>
      <c r="F57" s="93">
        <f t="shared" si="10"/>
        <v>0</v>
      </c>
      <c r="G57" s="93">
        <f t="shared" si="10"/>
        <v>0</v>
      </c>
      <c r="H57" s="93">
        <f t="shared" si="10"/>
        <v>0</v>
      </c>
    </row>
    <row r="58" spans="1:8" x14ac:dyDescent="0.2">
      <c r="A58" s="93" t="str">
        <f t="shared" si="11"/>
        <v>Chilli</v>
      </c>
      <c r="B58" s="93">
        <f t="shared" si="12"/>
        <v>0</v>
      </c>
      <c r="C58" s="93">
        <f t="shared" si="10"/>
        <v>0</v>
      </c>
      <c r="D58" s="93">
        <f t="shared" si="10"/>
        <v>0</v>
      </c>
      <c r="E58" s="93">
        <f t="shared" si="10"/>
        <v>0</v>
      </c>
      <c r="F58" s="93">
        <f t="shared" si="10"/>
        <v>0</v>
      </c>
      <c r="G58" s="93">
        <f t="shared" si="10"/>
        <v>0</v>
      </c>
      <c r="H58" s="93">
        <f t="shared" si="10"/>
        <v>0</v>
      </c>
    </row>
    <row r="59" spans="1:8" x14ac:dyDescent="0.2">
      <c r="A59" s="93" t="str">
        <f t="shared" si="11"/>
        <v>Strawberry</v>
      </c>
      <c r="B59" s="93">
        <v>0</v>
      </c>
      <c r="C59" s="93">
        <f t="shared" si="10"/>
        <v>0</v>
      </c>
      <c r="D59" s="93">
        <f t="shared" si="10"/>
        <v>0</v>
      </c>
      <c r="E59" s="93">
        <f t="shared" si="10"/>
        <v>0</v>
      </c>
      <c r="F59" s="93">
        <f t="shared" si="10"/>
        <v>0</v>
      </c>
      <c r="G59" s="93">
        <f t="shared" si="10"/>
        <v>0</v>
      </c>
      <c r="H59" s="93">
        <f t="shared" si="10"/>
        <v>0</v>
      </c>
    </row>
    <row r="60" spans="1:8" x14ac:dyDescent="0.2">
      <c r="A60" s="93">
        <f t="shared" si="11"/>
        <v>0</v>
      </c>
      <c r="B60" s="93">
        <f t="shared" si="12"/>
        <v>0</v>
      </c>
      <c r="C60" s="93">
        <f t="shared" si="10"/>
        <v>0</v>
      </c>
      <c r="D60" s="93">
        <f t="shared" si="10"/>
        <v>0</v>
      </c>
      <c r="E60" s="93">
        <f t="shared" si="10"/>
        <v>0</v>
      </c>
      <c r="F60" s="93">
        <f t="shared" si="10"/>
        <v>0</v>
      </c>
      <c r="G60" s="93">
        <f t="shared" si="10"/>
        <v>0</v>
      </c>
      <c r="H60" s="93">
        <f t="shared" si="10"/>
        <v>0</v>
      </c>
    </row>
    <row r="61" spans="1:8" x14ac:dyDescent="0.2">
      <c r="A61" s="93">
        <f t="shared" si="11"/>
        <v>0</v>
      </c>
      <c r="B61" s="93">
        <f t="shared" si="12"/>
        <v>0</v>
      </c>
      <c r="C61" s="93">
        <f t="shared" si="10"/>
        <v>0</v>
      </c>
      <c r="D61" s="93">
        <f t="shared" si="10"/>
        <v>0</v>
      </c>
      <c r="E61" s="93">
        <f t="shared" si="10"/>
        <v>0</v>
      </c>
      <c r="F61" s="93">
        <f t="shared" si="10"/>
        <v>0</v>
      </c>
      <c r="G61" s="93">
        <f t="shared" si="10"/>
        <v>0</v>
      </c>
      <c r="H61" s="93">
        <f t="shared" si="10"/>
        <v>0</v>
      </c>
    </row>
    <row r="62" spans="1:8" x14ac:dyDescent="0.2">
      <c r="A62" s="93">
        <f t="shared" si="11"/>
        <v>0</v>
      </c>
      <c r="B62" s="93">
        <f t="shared" si="12"/>
        <v>0</v>
      </c>
      <c r="C62" s="93">
        <f t="shared" ref="C62:H70" si="13">(B62/B$44)*C$44</f>
        <v>0</v>
      </c>
      <c r="D62" s="93">
        <f t="shared" si="13"/>
        <v>0</v>
      </c>
      <c r="E62" s="93">
        <f t="shared" si="13"/>
        <v>0</v>
      </c>
      <c r="F62" s="93">
        <f t="shared" si="13"/>
        <v>0</v>
      </c>
      <c r="G62" s="93">
        <f t="shared" si="13"/>
        <v>0</v>
      </c>
      <c r="H62" s="93">
        <f t="shared" si="13"/>
        <v>0</v>
      </c>
    </row>
    <row r="63" spans="1:8" x14ac:dyDescent="0.2">
      <c r="A63" s="93">
        <f t="shared" ref="A63:A66" si="14">B33</f>
        <v>0</v>
      </c>
      <c r="B63" s="93">
        <f t="shared" ref="B63:B70" si="15">H33*$B$44</f>
        <v>0</v>
      </c>
      <c r="C63" s="93">
        <f t="shared" si="13"/>
        <v>0</v>
      </c>
      <c r="D63" s="93">
        <f t="shared" si="13"/>
        <v>0</v>
      </c>
      <c r="E63" s="93">
        <f t="shared" si="13"/>
        <v>0</v>
      </c>
      <c r="F63" s="93">
        <f t="shared" si="13"/>
        <v>0</v>
      </c>
      <c r="G63" s="93">
        <f t="shared" si="13"/>
        <v>0</v>
      </c>
      <c r="H63" s="93">
        <f t="shared" si="13"/>
        <v>0</v>
      </c>
    </row>
    <row r="64" spans="1:8" x14ac:dyDescent="0.2">
      <c r="A64" s="93">
        <f t="shared" si="14"/>
        <v>0</v>
      </c>
      <c r="B64" s="93">
        <f t="shared" si="15"/>
        <v>0</v>
      </c>
      <c r="C64" s="93">
        <f t="shared" si="13"/>
        <v>0</v>
      </c>
      <c r="D64" s="93">
        <f t="shared" si="13"/>
        <v>0</v>
      </c>
      <c r="E64" s="93">
        <f t="shared" si="13"/>
        <v>0</v>
      </c>
      <c r="F64" s="93">
        <f t="shared" si="13"/>
        <v>0</v>
      </c>
      <c r="G64" s="93">
        <f t="shared" si="13"/>
        <v>0</v>
      </c>
      <c r="H64" s="93">
        <f t="shared" si="13"/>
        <v>0</v>
      </c>
    </row>
    <row r="65" spans="1:8" x14ac:dyDescent="0.2">
      <c r="A65" s="93">
        <f t="shared" si="14"/>
        <v>0</v>
      </c>
      <c r="B65" s="93">
        <f t="shared" si="15"/>
        <v>0</v>
      </c>
      <c r="C65" s="93">
        <f t="shared" si="13"/>
        <v>0</v>
      </c>
      <c r="D65" s="93">
        <f t="shared" si="13"/>
        <v>0</v>
      </c>
      <c r="E65" s="93">
        <f t="shared" si="13"/>
        <v>0</v>
      </c>
      <c r="F65" s="93">
        <f t="shared" si="13"/>
        <v>0</v>
      </c>
      <c r="G65" s="93">
        <f t="shared" si="13"/>
        <v>0</v>
      </c>
      <c r="H65" s="93">
        <f t="shared" si="13"/>
        <v>0</v>
      </c>
    </row>
    <row r="66" spans="1:8" x14ac:dyDescent="0.2">
      <c r="A66" s="93">
        <f t="shared" si="14"/>
        <v>0</v>
      </c>
      <c r="B66" s="93">
        <f t="shared" si="15"/>
        <v>0</v>
      </c>
      <c r="C66" s="93">
        <f t="shared" si="13"/>
        <v>0</v>
      </c>
      <c r="D66" s="93">
        <f t="shared" si="13"/>
        <v>0</v>
      </c>
      <c r="E66" s="93">
        <f t="shared" si="13"/>
        <v>0</v>
      </c>
      <c r="F66" s="93">
        <f t="shared" si="13"/>
        <v>0</v>
      </c>
      <c r="G66" s="93">
        <f t="shared" si="13"/>
        <v>0</v>
      </c>
      <c r="H66" s="93">
        <f t="shared" si="13"/>
        <v>0</v>
      </c>
    </row>
    <row r="67" spans="1:8" x14ac:dyDescent="0.2">
      <c r="A67" s="93" t="str">
        <f>B37</f>
        <v>Pomegranate</v>
      </c>
      <c r="B67" s="93">
        <f t="shared" si="15"/>
        <v>0</v>
      </c>
      <c r="C67" s="93">
        <f t="shared" si="13"/>
        <v>0</v>
      </c>
      <c r="D67" s="93">
        <f t="shared" si="13"/>
        <v>0</v>
      </c>
      <c r="E67" s="93">
        <f t="shared" si="13"/>
        <v>0</v>
      </c>
      <c r="F67" s="93">
        <f t="shared" si="13"/>
        <v>0</v>
      </c>
      <c r="G67" s="93">
        <f t="shared" si="13"/>
        <v>0</v>
      </c>
      <c r="H67" s="93">
        <f t="shared" si="13"/>
        <v>0</v>
      </c>
    </row>
    <row r="68" spans="1:8" x14ac:dyDescent="0.2">
      <c r="A68" s="93" t="str">
        <f t="shared" ref="A68:A70" si="16">B38</f>
        <v>Custard Apple</v>
      </c>
      <c r="B68" s="93">
        <f t="shared" si="15"/>
        <v>0</v>
      </c>
      <c r="C68" s="93">
        <f t="shared" si="13"/>
        <v>0</v>
      </c>
      <c r="D68" s="93">
        <f t="shared" si="13"/>
        <v>0</v>
      </c>
      <c r="E68" s="93">
        <f t="shared" si="13"/>
        <v>0</v>
      </c>
      <c r="F68" s="93">
        <f t="shared" si="13"/>
        <v>0</v>
      </c>
      <c r="G68" s="93">
        <f t="shared" si="13"/>
        <v>0</v>
      </c>
      <c r="H68" s="93">
        <f t="shared" si="13"/>
        <v>0</v>
      </c>
    </row>
    <row r="69" spans="1:8" x14ac:dyDescent="0.2">
      <c r="A69" s="93" t="str">
        <f t="shared" si="16"/>
        <v>Guava</v>
      </c>
      <c r="B69" s="93">
        <f t="shared" si="15"/>
        <v>0</v>
      </c>
      <c r="C69" s="93">
        <f t="shared" si="13"/>
        <v>0</v>
      </c>
      <c r="D69" s="93">
        <f t="shared" si="13"/>
        <v>0</v>
      </c>
      <c r="E69" s="93">
        <f t="shared" si="13"/>
        <v>0</v>
      </c>
      <c r="F69" s="93">
        <f t="shared" si="13"/>
        <v>0</v>
      </c>
      <c r="G69" s="93">
        <f t="shared" si="13"/>
        <v>0</v>
      </c>
      <c r="H69" s="93">
        <f t="shared" si="13"/>
        <v>0</v>
      </c>
    </row>
    <row r="70" spans="1:8" x14ac:dyDescent="0.2">
      <c r="A70" s="93" t="str">
        <f t="shared" si="16"/>
        <v>Citrus</v>
      </c>
      <c r="B70" s="93">
        <f t="shared" si="15"/>
        <v>0</v>
      </c>
      <c r="C70" s="93">
        <f t="shared" si="13"/>
        <v>0</v>
      </c>
      <c r="D70" s="93">
        <f t="shared" si="13"/>
        <v>0</v>
      </c>
      <c r="E70" s="93">
        <f t="shared" si="13"/>
        <v>0</v>
      </c>
      <c r="F70" s="93">
        <f t="shared" si="13"/>
        <v>0</v>
      </c>
      <c r="G70" s="93">
        <f t="shared" si="13"/>
        <v>0</v>
      </c>
      <c r="H70" s="93">
        <f t="shared" si="13"/>
        <v>0</v>
      </c>
    </row>
    <row r="71" spans="1:8" ht="18.75" x14ac:dyDescent="0.25">
      <c r="A71" s="488" t="s">
        <v>571</v>
      </c>
      <c r="B71" s="489"/>
      <c r="C71" s="489"/>
      <c r="D71" s="489"/>
      <c r="E71" s="489"/>
      <c r="F71" s="489"/>
      <c r="G71" s="489"/>
      <c r="H71" s="490"/>
    </row>
    <row r="72" spans="1:8" x14ac:dyDescent="0.2">
      <c r="A72" s="491" t="s">
        <v>0</v>
      </c>
      <c r="B72" s="379">
        <v>0.02</v>
      </c>
      <c r="C72" s="379">
        <f>B72*1.11</f>
        <v>2.2200000000000001E-2</v>
      </c>
      <c r="D72" s="379">
        <f>C72*1.086</f>
        <v>2.4109200000000004E-2</v>
      </c>
      <c r="E72" s="379">
        <f>D72*1.087</f>
        <v>2.6206700400000005E-2</v>
      </c>
      <c r="F72" s="379">
        <f>E72*1.07</f>
        <v>2.8041169428000008E-2</v>
      </c>
      <c r="G72" s="379">
        <f>F72*1.076</f>
        <v>3.0172298304528011E-2</v>
      </c>
      <c r="H72" s="379">
        <f>G72*1.064</f>
        <v>3.2103325396017804E-2</v>
      </c>
    </row>
    <row r="73" spans="1:8" x14ac:dyDescent="0.2">
      <c r="A73" s="492"/>
      <c r="B73" s="139" t="s">
        <v>2</v>
      </c>
      <c r="C73" s="139" t="s">
        <v>3</v>
      </c>
      <c r="D73" s="139" t="s">
        <v>4</v>
      </c>
      <c r="E73" s="139" t="s">
        <v>5</v>
      </c>
      <c r="F73" s="139" t="s">
        <v>6</v>
      </c>
      <c r="G73" s="139" t="s">
        <v>168</v>
      </c>
      <c r="H73" s="139" t="s">
        <v>167</v>
      </c>
    </row>
    <row r="74" spans="1:8" x14ac:dyDescent="0.2">
      <c r="A74" s="93" t="str">
        <f t="shared" ref="A74:A98" si="17">A46</f>
        <v>Onion</v>
      </c>
      <c r="B74" s="93">
        <f t="shared" ref="B74:H74" si="18">H14*$B$72</f>
        <v>0</v>
      </c>
      <c r="C74" s="93">
        <f t="shared" si="18"/>
        <v>0</v>
      </c>
      <c r="D74" s="93">
        <f t="shared" si="18"/>
        <v>0</v>
      </c>
      <c r="E74" s="93">
        <f t="shared" si="18"/>
        <v>0</v>
      </c>
      <c r="F74" s="93">
        <f t="shared" si="18"/>
        <v>0</v>
      </c>
      <c r="G74" s="93">
        <f t="shared" si="18"/>
        <v>0</v>
      </c>
      <c r="H74" s="93">
        <f t="shared" si="18"/>
        <v>0</v>
      </c>
    </row>
    <row r="75" spans="1:8" x14ac:dyDescent="0.2">
      <c r="A75" s="93" t="str">
        <f t="shared" si="17"/>
        <v>Tomato</v>
      </c>
      <c r="B75" s="93">
        <f>H15*$B$72*0</f>
        <v>0</v>
      </c>
      <c r="C75" s="93">
        <f>(B75/B72)*C72</f>
        <v>0</v>
      </c>
      <c r="D75" s="93">
        <f t="shared" ref="D75:G75" si="19">(C75/C72)*D72</f>
        <v>0</v>
      </c>
      <c r="E75" s="93">
        <f t="shared" si="19"/>
        <v>0</v>
      </c>
      <c r="F75" s="93">
        <f t="shared" si="19"/>
        <v>0</v>
      </c>
      <c r="G75" s="93">
        <f t="shared" si="19"/>
        <v>0</v>
      </c>
      <c r="H75" s="93">
        <f>(G75/G72)*H72</f>
        <v>0</v>
      </c>
    </row>
    <row r="76" spans="1:8" x14ac:dyDescent="0.2">
      <c r="A76" s="93" t="str">
        <f t="shared" si="17"/>
        <v>Okra</v>
      </c>
      <c r="B76" s="93">
        <f t="shared" ref="B76:B82" si="20">H16*$B$72</f>
        <v>0</v>
      </c>
      <c r="C76" s="93">
        <f>(B76/B72)*C72</f>
        <v>0</v>
      </c>
      <c r="D76" s="93">
        <f>(C76/C72)*D72</f>
        <v>0</v>
      </c>
      <c r="E76" s="93">
        <f t="shared" ref="E76:G76" si="21">(D76/D72)*E72</f>
        <v>0</v>
      </c>
      <c r="F76" s="93">
        <f t="shared" si="21"/>
        <v>0</v>
      </c>
      <c r="G76" s="93">
        <f t="shared" si="21"/>
        <v>0</v>
      </c>
      <c r="H76" s="93">
        <f>(G76/G72)*H72</f>
        <v>0</v>
      </c>
    </row>
    <row r="77" spans="1:8" x14ac:dyDescent="0.2">
      <c r="A77" s="93" t="str">
        <f t="shared" si="17"/>
        <v>Chilli</v>
      </c>
      <c r="B77" s="93">
        <f>H17*$B$72*0</f>
        <v>0</v>
      </c>
      <c r="C77" s="93">
        <f t="shared" ref="C77:H95" si="22">(B77/B$72)*C$72</f>
        <v>0</v>
      </c>
      <c r="D77" s="93">
        <f t="shared" si="22"/>
        <v>0</v>
      </c>
      <c r="E77" s="93">
        <f t="shared" si="22"/>
        <v>0</v>
      </c>
      <c r="F77" s="93">
        <f t="shared" si="22"/>
        <v>0</v>
      </c>
      <c r="G77" s="93">
        <f t="shared" si="22"/>
        <v>0</v>
      </c>
      <c r="H77" s="93">
        <f t="shared" si="22"/>
        <v>0</v>
      </c>
    </row>
    <row r="78" spans="1:8" x14ac:dyDescent="0.2">
      <c r="A78" s="93" t="str">
        <f t="shared" si="17"/>
        <v>Potato</v>
      </c>
      <c r="B78" s="93">
        <f t="shared" si="20"/>
        <v>0</v>
      </c>
      <c r="C78" s="93">
        <f t="shared" si="22"/>
        <v>0</v>
      </c>
      <c r="D78" s="93">
        <f t="shared" si="22"/>
        <v>0</v>
      </c>
      <c r="E78" s="93">
        <f t="shared" si="22"/>
        <v>0</v>
      </c>
      <c r="F78" s="93">
        <f t="shared" si="22"/>
        <v>0</v>
      </c>
      <c r="G78" s="93">
        <f t="shared" si="22"/>
        <v>0</v>
      </c>
      <c r="H78" s="93">
        <f t="shared" si="22"/>
        <v>0</v>
      </c>
    </row>
    <row r="79" spans="1:8" x14ac:dyDescent="0.2">
      <c r="A79" s="93" t="str">
        <f t="shared" si="17"/>
        <v>Strawberry</v>
      </c>
      <c r="B79" s="93">
        <f>H19*$B$72</f>
        <v>0</v>
      </c>
      <c r="C79" s="93">
        <f t="shared" si="22"/>
        <v>0</v>
      </c>
      <c r="D79" s="93">
        <f t="shared" si="22"/>
        <v>0</v>
      </c>
      <c r="E79" s="93">
        <f t="shared" si="22"/>
        <v>0</v>
      </c>
      <c r="F79" s="93">
        <f t="shared" si="22"/>
        <v>0</v>
      </c>
      <c r="G79" s="93">
        <f t="shared" si="22"/>
        <v>0</v>
      </c>
      <c r="H79" s="93">
        <f t="shared" si="22"/>
        <v>0</v>
      </c>
    </row>
    <row r="80" spans="1:8" x14ac:dyDescent="0.2">
      <c r="A80" s="93">
        <f t="shared" si="17"/>
        <v>0</v>
      </c>
      <c r="B80" s="93">
        <f>H20*$B$72</f>
        <v>0</v>
      </c>
      <c r="C80" s="93">
        <f t="shared" si="22"/>
        <v>0</v>
      </c>
      <c r="D80" s="93">
        <f t="shared" si="22"/>
        <v>0</v>
      </c>
      <c r="E80" s="93">
        <f t="shared" si="22"/>
        <v>0</v>
      </c>
      <c r="F80" s="93">
        <f t="shared" si="22"/>
        <v>0</v>
      </c>
      <c r="G80" s="93">
        <f t="shared" si="22"/>
        <v>0</v>
      </c>
      <c r="H80" s="93">
        <f t="shared" si="22"/>
        <v>0</v>
      </c>
    </row>
    <row r="81" spans="1:8" x14ac:dyDescent="0.2">
      <c r="A81" s="93">
        <f t="shared" si="17"/>
        <v>0</v>
      </c>
      <c r="B81" s="93">
        <f t="shared" si="20"/>
        <v>0</v>
      </c>
      <c r="C81" s="93">
        <f t="shared" si="22"/>
        <v>0</v>
      </c>
      <c r="D81" s="93">
        <f t="shared" si="22"/>
        <v>0</v>
      </c>
      <c r="E81" s="93">
        <f t="shared" si="22"/>
        <v>0</v>
      </c>
      <c r="F81" s="93">
        <f t="shared" si="22"/>
        <v>0</v>
      </c>
      <c r="G81" s="93">
        <f t="shared" si="22"/>
        <v>0</v>
      </c>
      <c r="H81" s="93">
        <f t="shared" si="22"/>
        <v>0</v>
      </c>
    </row>
    <row r="82" spans="1:8" x14ac:dyDescent="0.2">
      <c r="A82" s="93">
        <f t="shared" si="17"/>
        <v>0</v>
      </c>
      <c r="B82" s="93">
        <f t="shared" si="20"/>
        <v>0</v>
      </c>
      <c r="C82" s="93">
        <f t="shared" si="22"/>
        <v>0</v>
      </c>
      <c r="D82" s="93">
        <f t="shared" si="22"/>
        <v>0</v>
      </c>
      <c r="E82" s="93">
        <f t="shared" si="22"/>
        <v>0</v>
      </c>
      <c r="F82" s="93">
        <f t="shared" si="22"/>
        <v>0</v>
      </c>
      <c r="G82" s="93">
        <f t="shared" si="22"/>
        <v>0</v>
      </c>
      <c r="H82" s="93">
        <f t="shared" si="22"/>
        <v>0</v>
      </c>
    </row>
    <row r="83" spans="1:8" x14ac:dyDescent="0.2">
      <c r="A83" s="93" t="str">
        <f t="shared" si="17"/>
        <v>Onion</v>
      </c>
      <c r="B83" s="93">
        <f t="shared" ref="B83:B90" si="23">H24*$B$72</f>
        <v>0</v>
      </c>
      <c r="C83" s="93">
        <f t="shared" si="22"/>
        <v>0</v>
      </c>
      <c r="D83" s="93">
        <f t="shared" si="22"/>
        <v>0</v>
      </c>
      <c r="E83" s="93">
        <f t="shared" si="22"/>
        <v>0</v>
      </c>
      <c r="F83" s="93">
        <f t="shared" si="22"/>
        <v>0</v>
      </c>
      <c r="G83" s="93">
        <f t="shared" si="22"/>
        <v>0</v>
      </c>
      <c r="H83" s="93">
        <f t="shared" si="22"/>
        <v>0</v>
      </c>
    </row>
    <row r="84" spans="1:8" x14ac:dyDescent="0.2">
      <c r="A84" s="93" t="str">
        <f t="shared" si="17"/>
        <v>Tomato</v>
      </c>
      <c r="B84" s="93">
        <f t="shared" si="23"/>
        <v>0</v>
      </c>
      <c r="C84" s="93">
        <f t="shared" si="22"/>
        <v>0</v>
      </c>
      <c r="D84" s="93">
        <f t="shared" si="22"/>
        <v>0</v>
      </c>
      <c r="E84" s="93">
        <f t="shared" si="22"/>
        <v>0</v>
      </c>
      <c r="F84" s="93">
        <f t="shared" si="22"/>
        <v>0</v>
      </c>
      <c r="G84" s="93">
        <f t="shared" si="22"/>
        <v>0</v>
      </c>
      <c r="H84" s="93">
        <f t="shared" si="22"/>
        <v>0</v>
      </c>
    </row>
    <row r="85" spans="1:8" x14ac:dyDescent="0.2">
      <c r="A85" s="93" t="str">
        <f t="shared" si="17"/>
        <v>Okra</v>
      </c>
      <c r="B85" s="93">
        <f t="shared" si="23"/>
        <v>0</v>
      </c>
      <c r="C85" s="93">
        <f t="shared" si="22"/>
        <v>0</v>
      </c>
      <c r="D85" s="93">
        <f t="shared" si="22"/>
        <v>0</v>
      </c>
      <c r="E85" s="93">
        <f t="shared" si="22"/>
        <v>0</v>
      </c>
      <c r="F85" s="93">
        <f t="shared" si="22"/>
        <v>0</v>
      </c>
      <c r="G85" s="93">
        <f t="shared" si="22"/>
        <v>0</v>
      </c>
      <c r="H85" s="93">
        <f t="shared" si="22"/>
        <v>0</v>
      </c>
    </row>
    <row r="86" spans="1:8" x14ac:dyDescent="0.2">
      <c r="A86" s="93" t="str">
        <f t="shared" si="17"/>
        <v>Chilli</v>
      </c>
      <c r="B86" s="93">
        <f t="shared" si="23"/>
        <v>0</v>
      </c>
      <c r="C86" s="93">
        <f t="shared" si="22"/>
        <v>0</v>
      </c>
      <c r="D86" s="93">
        <f t="shared" si="22"/>
        <v>0</v>
      </c>
      <c r="E86" s="93">
        <f t="shared" si="22"/>
        <v>0</v>
      </c>
      <c r="F86" s="93">
        <f t="shared" si="22"/>
        <v>0</v>
      </c>
      <c r="G86" s="93">
        <f t="shared" si="22"/>
        <v>0</v>
      </c>
      <c r="H86" s="93">
        <f t="shared" si="22"/>
        <v>0</v>
      </c>
    </row>
    <row r="87" spans="1:8" x14ac:dyDescent="0.2">
      <c r="A87" s="93" t="str">
        <f t="shared" si="17"/>
        <v>Strawberry</v>
      </c>
      <c r="B87" s="384">
        <f>H28*$B$72</f>
        <v>1345.2</v>
      </c>
      <c r="C87" s="384">
        <f t="shared" si="22"/>
        <v>1493.172</v>
      </c>
      <c r="D87" s="384">
        <f t="shared" si="22"/>
        <v>1621.5847920000003</v>
      </c>
      <c r="E87" s="384">
        <f t="shared" si="22"/>
        <v>1762.6626689040004</v>
      </c>
      <c r="F87" s="384">
        <f t="shared" si="22"/>
        <v>1886.0490557272806</v>
      </c>
      <c r="G87" s="384">
        <f t="shared" si="22"/>
        <v>2029.388783962554</v>
      </c>
      <c r="H87" s="384">
        <f t="shared" si="22"/>
        <v>2159.2696661361574</v>
      </c>
    </row>
    <row r="88" spans="1:8" x14ac:dyDescent="0.2">
      <c r="A88" s="93">
        <f t="shared" si="17"/>
        <v>0</v>
      </c>
      <c r="B88" s="93">
        <f t="shared" si="23"/>
        <v>0</v>
      </c>
      <c r="C88" s="93">
        <f t="shared" si="22"/>
        <v>0</v>
      </c>
      <c r="D88" s="93">
        <f t="shared" si="22"/>
        <v>0</v>
      </c>
      <c r="E88" s="93">
        <f t="shared" si="22"/>
        <v>0</v>
      </c>
      <c r="F88" s="93">
        <f t="shared" si="22"/>
        <v>0</v>
      </c>
      <c r="G88" s="93">
        <f t="shared" si="22"/>
        <v>0</v>
      </c>
      <c r="H88" s="93">
        <f t="shared" si="22"/>
        <v>0</v>
      </c>
    </row>
    <row r="89" spans="1:8" x14ac:dyDescent="0.2">
      <c r="A89" s="93">
        <f t="shared" si="17"/>
        <v>0</v>
      </c>
      <c r="B89" s="93">
        <f t="shared" si="23"/>
        <v>0</v>
      </c>
      <c r="C89" s="93">
        <f t="shared" si="22"/>
        <v>0</v>
      </c>
      <c r="D89" s="93">
        <f t="shared" si="22"/>
        <v>0</v>
      </c>
      <c r="E89" s="93">
        <f t="shared" si="22"/>
        <v>0</v>
      </c>
      <c r="F89" s="93">
        <f t="shared" si="22"/>
        <v>0</v>
      </c>
      <c r="G89" s="93">
        <f t="shared" si="22"/>
        <v>0</v>
      </c>
      <c r="H89" s="93">
        <f t="shared" si="22"/>
        <v>0</v>
      </c>
    </row>
    <row r="90" spans="1:8" x14ac:dyDescent="0.2">
      <c r="A90" s="93">
        <f t="shared" si="17"/>
        <v>0</v>
      </c>
      <c r="B90" s="93">
        <f t="shared" si="23"/>
        <v>0</v>
      </c>
      <c r="C90" s="93">
        <f t="shared" si="22"/>
        <v>0</v>
      </c>
      <c r="D90" s="93">
        <f t="shared" si="22"/>
        <v>0</v>
      </c>
      <c r="E90" s="93">
        <f t="shared" si="22"/>
        <v>0</v>
      </c>
      <c r="F90" s="93">
        <f t="shared" si="22"/>
        <v>0</v>
      </c>
      <c r="G90" s="93">
        <f t="shared" si="22"/>
        <v>0</v>
      </c>
      <c r="H90" s="93">
        <f t="shared" si="22"/>
        <v>0</v>
      </c>
    </row>
    <row r="91" spans="1:8" x14ac:dyDescent="0.2">
      <c r="A91" s="93">
        <f t="shared" si="17"/>
        <v>0</v>
      </c>
      <c r="B91" s="93">
        <f t="shared" ref="B91:B98" si="24">H33*$B$72</f>
        <v>0</v>
      </c>
      <c r="C91" s="93">
        <f t="shared" si="22"/>
        <v>0</v>
      </c>
      <c r="D91" s="93">
        <f t="shared" si="22"/>
        <v>0</v>
      </c>
      <c r="E91" s="93">
        <f t="shared" si="22"/>
        <v>0</v>
      </c>
      <c r="F91" s="93">
        <f t="shared" si="22"/>
        <v>0</v>
      </c>
      <c r="G91" s="93">
        <f t="shared" si="22"/>
        <v>0</v>
      </c>
      <c r="H91" s="93">
        <f t="shared" si="22"/>
        <v>0</v>
      </c>
    </row>
    <row r="92" spans="1:8" x14ac:dyDescent="0.2">
      <c r="A92" s="93">
        <f t="shared" si="17"/>
        <v>0</v>
      </c>
      <c r="B92" s="93">
        <f t="shared" si="24"/>
        <v>0</v>
      </c>
      <c r="C92" s="93">
        <f t="shared" si="22"/>
        <v>0</v>
      </c>
      <c r="D92" s="93">
        <f t="shared" si="22"/>
        <v>0</v>
      </c>
      <c r="E92" s="93">
        <f t="shared" si="22"/>
        <v>0</v>
      </c>
      <c r="F92" s="93">
        <f t="shared" si="22"/>
        <v>0</v>
      </c>
      <c r="G92" s="93">
        <f t="shared" si="22"/>
        <v>0</v>
      </c>
      <c r="H92" s="93"/>
    </row>
    <row r="93" spans="1:8" x14ac:dyDescent="0.2">
      <c r="A93" s="93">
        <f t="shared" si="17"/>
        <v>0</v>
      </c>
      <c r="B93" s="93">
        <f t="shared" si="24"/>
        <v>0</v>
      </c>
      <c r="C93" s="93">
        <f t="shared" si="22"/>
        <v>0</v>
      </c>
      <c r="D93" s="93">
        <f t="shared" si="22"/>
        <v>0</v>
      </c>
      <c r="E93" s="93">
        <f t="shared" si="22"/>
        <v>0</v>
      </c>
      <c r="F93" s="93">
        <f t="shared" si="22"/>
        <v>0</v>
      </c>
      <c r="G93" s="93">
        <f t="shared" si="22"/>
        <v>0</v>
      </c>
      <c r="H93" s="93"/>
    </row>
    <row r="94" spans="1:8" x14ac:dyDescent="0.2">
      <c r="A94" s="93">
        <f t="shared" si="17"/>
        <v>0</v>
      </c>
      <c r="B94" s="93">
        <f t="shared" si="24"/>
        <v>0</v>
      </c>
      <c r="C94" s="93">
        <f t="shared" si="22"/>
        <v>0</v>
      </c>
      <c r="D94" s="93">
        <f t="shared" si="22"/>
        <v>0</v>
      </c>
      <c r="E94" s="93">
        <f t="shared" si="22"/>
        <v>0</v>
      </c>
      <c r="F94" s="93">
        <f t="shared" si="22"/>
        <v>0</v>
      </c>
      <c r="G94" s="93">
        <f t="shared" si="22"/>
        <v>0</v>
      </c>
      <c r="H94" s="93"/>
    </row>
    <row r="95" spans="1:8" x14ac:dyDescent="0.2">
      <c r="A95" s="93" t="str">
        <f t="shared" si="17"/>
        <v>Pomegranate</v>
      </c>
      <c r="B95" s="93">
        <f t="shared" si="24"/>
        <v>0</v>
      </c>
      <c r="C95" s="93">
        <f t="shared" si="22"/>
        <v>0</v>
      </c>
      <c r="D95" s="93">
        <f t="shared" si="22"/>
        <v>0</v>
      </c>
      <c r="E95" s="93">
        <f t="shared" si="22"/>
        <v>0</v>
      </c>
      <c r="F95" s="93">
        <f t="shared" si="22"/>
        <v>0</v>
      </c>
      <c r="G95" s="93">
        <f t="shared" si="22"/>
        <v>0</v>
      </c>
      <c r="H95" s="93">
        <f t="shared" si="22"/>
        <v>0</v>
      </c>
    </row>
    <row r="96" spans="1:8" x14ac:dyDescent="0.2">
      <c r="A96" s="93" t="str">
        <f t="shared" si="17"/>
        <v>Custard Apple</v>
      </c>
      <c r="B96" s="93">
        <f t="shared" si="24"/>
        <v>0</v>
      </c>
      <c r="C96" s="93">
        <f t="shared" ref="C96:H98" si="25">(B96/B$72)*C$72</f>
        <v>0</v>
      </c>
      <c r="D96" s="93">
        <f t="shared" si="25"/>
        <v>0</v>
      </c>
      <c r="E96" s="93">
        <f t="shared" si="25"/>
        <v>0</v>
      </c>
      <c r="F96" s="93">
        <f t="shared" si="25"/>
        <v>0</v>
      </c>
      <c r="G96" s="93">
        <f t="shared" si="25"/>
        <v>0</v>
      </c>
      <c r="H96" s="93">
        <f t="shared" si="25"/>
        <v>0</v>
      </c>
    </row>
    <row r="97" spans="1:8" x14ac:dyDescent="0.2">
      <c r="A97" s="93" t="str">
        <f t="shared" si="17"/>
        <v>Guava</v>
      </c>
      <c r="B97" s="93">
        <f t="shared" si="24"/>
        <v>0</v>
      </c>
      <c r="C97" s="93">
        <f t="shared" si="25"/>
        <v>0</v>
      </c>
      <c r="D97" s="93">
        <f t="shared" si="25"/>
        <v>0</v>
      </c>
      <c r="E97" s="93">
        <f t="shared" si="25"/>
        <v>0</v>
      </c>
      <c r="F97" s="93">
        <f t="shared" si="25"/>
        <v>0</v>
      </c>
      <c r="G97" s="93">
        <f t="shared" si="25"/>
        <v>0</v>
      </c>
      <c r="H97" s="93">
        <f t="shared" si="25"/>
        <v>0</v>
      </c>
    </row>
    <row r="98" spans="1:8" x14ac:dyDescent="0.2">
      <c r="A98" s="93" t="str">
        <f t="shared" si="17"/>
        <v>Citrus</v>
      </c>
      <c r="B98" s="93">
        <f t="shared" si="24"/>
        <v>0</v>
      </c>
      <c r="C98" s="93">
        <f t="shared" si="25"/>
        <v>0</v>
      </c>
      <c r="D98" s="93">
        <f t="shared" si="25"/>
        <v>0</v>
      </c>
      <c r="E98" s="93">
        <f t="shared" si="25"/>
        <v>0</v>
      </c>
      <c r="F98" s="93">
        <f t="shared" si="25"/>
        <v>0</v>
      </c>
      <c r="G98" s="93">
        <f t="shared" si="25"/>
        <v>0</v>
      </c>
      <c r="H98" s="93">
        <f t="shared" si="25"/>
        <v>0</v>
      </c>
    </row>
    <row r="99" spans="1:8" ht="18.75" x14ac:dyDescent="0.25">
      <c r="A99" s="488" t="s">
        <v>572</v>
      </c>
      <c r="B99" s="489"/>
      <c r="C99" s="489"/>
      <c r="D99" s="489"/>
      <c r="E99" s="489"/>
      <c r="F99" s="489"/>
      <c r="G99" s="489"/>
      <c r="H99" s="490"/>
    </row>
    <row r="100" spans="1:8" x14ac:dyDescent="0.2">
      <c r="A100" s="477" t="s">
        <v>0</v>
      </c>
      <c r="B100" s="380">
        <v>0.65</v>
      </c>
      <c r="C100" s="381">
        <f>B100+0.05</f>
        <v>0.70000000000000007</v>
      </c>
      <c r="D100" s="381">
        <f t="shared" ref="D100:G100" si="26">C100+0.05</f>
        <v>0.75000000000000011</v>
      </c>
      <c r="E100" s="381">
        <f t="shared" si="26"/>
        <v>0.80000000000000016</v>
      </c>
      <c r="F100" s="381">
        <f t="shared" si="26"/>
        <v>0.8500000000000002</v>
      </c>
      <c r="G100" s="381">
        <f t="shared" si="26"/>
        <v>0.90000000000000024</v>
      </c>
      <c r="H100" s="381">
        <f>G100+0.05</f>
        <v>0.95000000000000029</v>
      </c>
    </row>
    <row r="101" spans="1:8" x14ac:dyDescent="0.2">
      <c r="A101" s="478"/>
      <c r="B101" s="139" t="s">
        <v>2</v>
      </c>
      <c r="C101" s="139" t="s">
        <v>3</v>
      </c>
      <c r="D101" s="139" t="s">
        <v>4</v>
      </c>
      <c r="E101" s="139" t="s">
        <v>5</v>
      </c>
      <c r="F101" s="139" t="s">
        <v>6</v>
      </c>
      <c r="G101" s="139" t="s">
        <v>168</v>
      </c>
      <c r="H101" s="139" t="s">
        <v>167</v>
      </c>
    </row>
    <row r="102" spans="1:8" x14ac:dyDescent="0.2">
      <c r="A102" s="93" t="str">
        <f t="shared" ref="A102:A126" si="27">A74</f>
        <v>Onion</v>
      </c>
      <c r="B102" s="93">
        <f t="shared" ref="B102:B110" si="28">D14*$B$100</f>
        <v>0</v>
      </c>
      <c r="C102" s="93">
        <f t="shared" ref="C102:H117" si="29">(B102/B$100)*C$100</f>
        <v>0</v>
      </c>
      <c r="D102" s="93">
        <f t="shared" si="29"/>
        <v>0</v>
      </c>
      <c r="E102" s="93">
        <f t="shared" si="29"/>
        <v>0</v>
      </c>
      <c r="F102" s="93">
        <f t="shared" si="29"/>
        <v>0</v>
      </c>
      <c r="G102" s="93">
        <f t="shared" si="29"/>
        <v>0</v>
      </c>
      <c r="H102" s="93">
        <f t="shared" si="29"/>
        <v>0</v>
      </c>
    </row>
    <row r="103" spans="1:8" x14ac:dyDescent="0.2">
      <c r="A103" s="93" t="str">
        <f t="shared" si="27"/>
        <v>Tomato</v>
      </c>
      <c r="B103" s="93">
        <f t="shared" si="28"/>
        <v>0</v>
      </c>
      <c r="C103" s="93">
        <f t="shared" si="29"/>
        <v>0</v>
      </c>
      <c r="D103" s="93">
        <f>(C103/C100)*D100</f>
        <v>0</v>
      </c>
      <c r="E103" s="93">
        <f t="shared" ref="E103:G103" si="30">(D103/D100)*E100</f>
        <v>0</v>
      </c>
      <c r="F103" s="93">
        <f t="shared" si="30"/>
        <v>0</v>
      </c>
      <c r="G103" s="93">
        <f t="shared" si="30"/>
        <v>0</v>
      </c>
      <c r="H103" s="93">
        <f>(G103/G100)*H100</f>
        <v>0</v>
      </c>
    </row>
    <row r="104" spans="1:8" x14ac:dyDescent="0.2">
      <c r="A104" s="93" t="str">
        <f t="shared" si="27"/>
        <v>Okra</v>
      </c>
      <c r="B104" s="93">
        <f t="shared" si="28"/>
        <v>0</v>
      </c>
      <c r="C104" s="93">
        <f t="shared" si="29"/>
        <v>0</v>
      </c>
      <c r="D104" s="93">
        <f t="shared" si="29"/>
        <v>0</v>
      </c>
      <c r="E104" s="93">
        <f t="shared" si="29"/>
        <v>0</v>
      </c>
      <c r="F104" s="93">
        <f t="shared" si="29"/>
        <v>0</v>
      </c>
      <c r="G104" s="93">
        <f t="shared" si="29"/>
        <v>0</v>
      </c>
      <c r="H104" s="93">
        <f t="shared" si="29"/>
        <v>0</v>
      </c>
    </row>
    <row r="105" spans="1:8" x14ac:dyDescent="0.2">
      <c r="A105" s="93" t="str">
        <f t="shared" si="27"/>
        <v>Chilli</v>
      </c>
      <c r="B105" s="93">
        <f t="shared" si="28"/>
        <v>0</v>
      </c>
      <c r="C105" s="93">
        <f t="shared" si="29"/>
        <v>0</v>
      </c>
      <c r="D105" s="93">
        <f t="shared" si="29"/>
        <v>0</v>
      </c>
      <c r="E105" s="93">
        <f t="shared" si="29"/>
        <v>0</v>
      </c>
      <c r="F105" s="93">
        <f t="shared" si="29"/>
        <v>0</v>
      </c>
      <c r="G105" s="93">
        <f t="shared" si="29"/>
        <v>0</v>
      </c>
      <c r="H105" s="93">
        <f t="shared" si="29"/>
        <v>0</v>
      </c>
    </row>
    <row r="106" spans="1:8" x14ac:dyDescent="0.2">
      <c r="A106" s="93" t="str">
        <f t="shared" si="27"/>
        <v>Potato</v>
      </c>
      <c r="B106" s="93">
        <f t="shared" si="28"/>
        <v>0</v>
      </c>
      <c r="C106" s="93">
        <f t="shared" si="29"/>
        <v>0</v>
      </c>
      <c r="D106" s="93">
        <f t="shared" si="29"/>
        <v>0</v>
      </c>
      <c r="E106" s="93">
        <f t="shared" si="29"/>
        <v>0</v>
      </c>
      <c r="F106" s="93">
        <f t="shared" si="29"/>
        <v>0</v>
      </c>
      <c r="G106" s="93">
        <f t="shared" si="29"/>
        <v>0</v>
      </c>
      <c r="H106" s="93">
        <f t="shared" si="29"/>
        <v>0</v>
      </c>
    </row>
    <row r="107" spans="1:8" x14ac:dyDescent="0.2">
      <c r="A107" s="93" t="str">
        <f t="shared" si="27"/>
        <v>Strawberry</v>
      </c>
      <c r="B107" s="93">
        <f t="shared" si="28"/>
        <v>0</v>
      </c>
      <c r="C107" s="93">
        <f t="shared" si="29"/>
        <v>0</v>
      </c>
      <c r="D107" s="93">
        <f t="shared" si="29"/>
        <v>0</v>
      </c>
      <c r="E107" s="93">
        <f t="shared" si="29"/>
        <v>0</v>
      </c>
      <c r="F107" s="93">
        <f t="shared" si="29"/>
        <v>0</v>
      </c>
      <c r="G107" s="93">
        <f t="shared" si="29"/>
        <v>0</v>
      </c>
      <c r="H107" s="93">
        <f t="shared" si="29"/>
        <v>0</v>
      </c>
    </row>
    <row r="108" spans="1:8" x14ac:dyDescent="0.2">
      <c r="A108" s="93">
        <f t="shared" si="27"/>
        <v>0</v>
      </c>
      <c r="B108" s="93">
        <f t="shared" si="28"/>
        <v>0</v>
      </c>
      <c r="C108" s="93">
        <f t="shared" si="29"/>
        <v>0</v>
      </c>
      <c r="D108" s="93">
        <f t="shared" si="29"/>
        <v>0</v>
      </c>
      <c r="E108" s="93">
        <f t="shared" si="29"/>
        <v>0</v>
      </c>
      <c r="F108" s="93">
        <f t="shared" si="29"/>
        <v>0</v>
      </c>
      <c r="G108" s="93">
        <f t="shared" si="29"/>
        <v>0</v>
      </c>
      <c r="H108" s="93">
        <f t="shared" si="29"/>
        <v>0</v>
      </c>
    </row>
    <row r="109" spans="1:8" x14ac:dyDescent="0.2">
      <c r="A109" s="93">
        <f t="shared" si="27"/>
        <v>0</v>
      </c>
      <c r="B109" s="93">
        <f t="shared" si="28"/>
        <v>0</v>
      </c>
      <c r="C109" s="93">
        <f t="shared" si="29"/>
        <v>0</v>
      </c>
      <c r="D109" s="93">
        <f t="shared" si="29"/>
        <v>0</v>
      </c>
      <c r="E109" s="93">
        <f t="shared" si="29"/>
        <v>0</v>
      </c>
      <c r="F109" s="93">
        <f t="shared" si="29"/>
        <v>0</v>
      </c>
      <c r="G109" s="93">
        <f t="shared" si="29"/>
        <v>0</v>
      </c>
      <c r="H109" s="93">
        <f t="shared" si="29"/>
        <v>0</v>
      </c>
    </row>
    <row r="110" spans="1:8" x14ac:dyDescent="0.2">
      <c r="A110" s="93">
        <f t="shared" si="27"/>
        <v>0</v>
      </c>
      <c r="B110" s="93">
        <f t="shared" si="28"/>
        <v>0</v>
      </c>
      <c r="C110" s="93">
        <f t="shared" si="29"/>
        <v>0</v>
      </c>
      <c r="D110" s="93">
        <f t="shared" si="29"/>
        <v>0</v>
      </c>
      <c r="E110" s="93">
        <f t="shared" si="29"/>
        <v>0</v>
      </c>
      <c r="F110" s="93">
        <f t="shared" si="29"/>
        <v>0</v>
      </c>
      <c r="G110" s="93">
        <f t="shared" si="29"/>
        <v>0</v>
      </c>
      <c r="H110" s="93">
        <f t="shared" si="29"/>
        <v>0</v>
      </c>
    </row>
    <row r="111" spans="1:8" x14ac:dyDescent="0.2">
      <c r="A111" s="93" t="str">
        <f t="shared" si="27"/>
        <v>Onion</v>
      </c>
      <c r="B111" s="93">
        <f t="shared" ref="B111:B118" si="31">D24*$B$100</f>
        <v>0</v>
      </c>
      <c r="C111" s="93">
        <f t="shared" si="29"/>
        <v>0</v>
      </c>
      <c r="D111" s="93">
        <f t="shared" si="29"/>
        <v>0</v>
      </c>
      <c r="E111" s="93">
        <f t="shared" si="29"/>
        <v>0</v>
      </c>
      <c r="F111" s="93">
        <f t="shared" si="29"/>
        <v>0</v>
      </c>
      <c r="G111" s="93">
        <f t="shared" si="29"/>
        <v>0</v>
      </c>
      <c r="H111" s="93">
        <f t="shared" si="29"/>
        <v>0</v>
      </c>
    </row>
    <row r="112" spans="1:8" x14ac:dyDescent="0.2">
      <c r="A112" s="93" t="str">
        <f t="shared" si="27"/>
        <v>Tomato</v>
      </c>
      <c r="B112" s="93">
        <f t="shared" si="31"/>
        <v>0</v>
      </c>
      <c r="C112" s="93">
        <f t="shared" si="29"/>
        <v>0</v>
      </c>
      <c r="D112" s="93">
        <f t="shared" si="29"/>
        <v>0</v>
      </c>
      <c r="E112" s="93">
        <f t="shared" si="29"/>
        <v>0</v>
      </c>
      <c r="F112" s="93">
        <f t="shared" si="29"/>
        <v>0</v>
      </c>
      <c r="G112" s="93">
        <f t="shared" si="29"/>
        <v>0</v>
      </c>
      <c r="H112" s="93">
        <f t="shared" si="29"/>
        <v>0</v>
      </c>
    </row>
    <row r="113" spans="1:9" x14ac:dyDescent="0.2">
      <c r="A113" s="93" t="str">
        <f t="shared" si="27"/>
        <v>Okra</v>
      </c>
      <c r="B113" s="93">
        <f t="shared" si="31"/>
        <v>0</v>
      </c>
      <c r="C113" s="93">
        <f t="shared" si="29"/>
        <v>0</v>
      </c>
      <c r="D113" s="93">
        <f t="shared" si="29"/>
        <v>0</v>
      </c>
      <c r="E113" s="93">
        <f t="shared" si="29"/>
        <v>0</v>
      </c>
      <c r="F113" s="93">
        <f t="shared" si="29"/>
        <v>0</v>
      </c>
      <c r="G113" s="93">
        <f t="shared" si="29"/>
        <v>0</v>
      </c>
      <c r="H113" s="93">
        <f t="shared" si="29"/>
        <v>0</v>
      </c>
    </row>
    <row r="114" spans="1:9" x14ac:dyDescent="0.2">
      <c r="A114" s="93" t="str">
        <f t="shared" si="27"/>
        <v>Chilli</v>
      </c>
      <c r="B114" s="93">
        <f t="shared" si="31"/>
        <v>0</v>
      </c>
      <c r="C114" s="93">
        <f t="shared" si="29"/>
        <v>0</v>
      </c>
      <c r="D114" s="93">
        <f t="shared" si="29"/>
        <v>0</v>
      </c>
      <c r="E114" s="93">
        <f t="shared" si="29"/>
        <v>0</v>
      </c>
      <c r="F114" s="93">
        <f t="shared" si="29"/>
        <v>0</v>
      </c>
      <c r="G114" s="93">
        <f t="shared" si="29"/>
        <v>0</v>
      </c>
      <c r="H114" s="93">
        <f t="shared" si="29"/>
        <v>0</v>
      </c>
    </row>
    <row r="115" spans="1:9" x14ac:dyDescent="0.2">
      <c r="A115" s="93" t="str">
        <f t="shared" si="27"/>
        <v>Strawberry</v>
      </c>
      <c r="B115" s="93">
        <f t="shared" si="31"/>
        <v>306.8</v>
      </c>
      <c r="C115" s="93">
        <f t="shared" si="29"/>
        <v>330.40000000000003</v>
      </c>
      <c r="D115" s="93">
        <f t="shared" si="29"/>
        <v>354.00000000000006</v>
      </c>
      <c r="E115" s="93">
        <f t="shared" si="29"/>
        <v>377.60000000000008</v>
      </c>
      <c r="F115" s="93">
        <f t="shared" si="29"/>
        <v>401.2000000000001</v>
      </c>
      <c r="G115" s="93">
        <f t="shared" si="29"/>
        <v>424.80000000000013</v>
      </c>
      <c r="H115" s="93">
        <f t="shared" si="29"/>
        <v>448.40000000000015</v>
      </c>
    </row>
    <row r="116" spans="1:9" x14ac:dyDescent="0.2">
      <c r="A116" s="93">
        <f t="shared" si="27"/>
        <v>0</v>
      </c>
      <c r="B116" s="93">
        <f t="shared" si="31"/>
        <v>0</v>
      </c>
      <c r="C116" s="93">
        <f t="shared" si="29"/>
        <v>0</v>
      </c>
      <c r="D116" s="93">
        <f t="shared" si="29"/>
        <v>0</v>
      </c>
      <c r="E116" s="93">
        <f t="shared" si="29"/>
        <v>0</v>
      </c>
      <c r="F116" s="93">
        <f t="shared" si="29"/>
        <v>0</v>
      </c>
      <c r="G116" s="93">
        <f t="shared" si="29"/>
        <v>0</v>
      </c>
      <c r="H116" s="93">
        <f t="shared" si="29"/>
        <v>0</v>
      </c>
    </row>
    <row r="117" spans="1:9" x14ac:dyDescent="0.2">
      <c r="A117" s="93">
        <f t="shared" si="27"/>
        <v>0</v>
      </c>
      <c r="B117" s="93">
        <f t="shared" si="31"/>
        <v>0</v>
      </c>
      <c r="C117" s="93">
        <f t="shared" si="29"/>
        <v>0</v>
      </c>
      <c r="D117" s="93">
        <f t="shared" si="29"/>
        <v>0</v>
      </c>
      <c r="E117" s="93">
        <f t="shared" si="29"/>
        <v>0</v>
      </c>
      <c r="F117" s="93">
        <f t="shared" si="29"/>
        <v>0</v>
      </c>
      <c r="G117" s="93">
        <f t="shared" si="29"/>
        <v>0</v>
      </c>
      <c r="H117" s="93">
        <f t="shared" si="29"/>
        <v>0</v>
      </c>
    </row>
    <row r="118" spans="1:9" x14ac:dyDescent="0.2">
      <c r="A118" s="93">
        <f t="shared" si="27"/>
        <v>0</v>
      </c>
      <c r="B118" s="93">
        <f t="shared" si="31"/>
        <v>0</v>
      </c>
      <c r="C118" s="93">
        <f t="shared" ref="C118:H126" si="32">(B118/B$100)*C$100</f>
        <v>0</v>
      </c>
      <c r="D118" s="93">
        <f t="shared" si="32"/>
        <v>0</v>
      </c>
      <c r="E118" s="93">
        <f t="shared" si="32"/>
        <v>0</v>
      </c>
      <c r="F118" s="93">
        <f t="shared" si="32"/>
        <v>0</v>
      </c>
      <c r="G118" s="93">
        <f t="shared" si="32"/>
        <v>0</v>
      </c>
      <c r="H118" s="93">
        <f t="shared" si="32"/>
        <v>0</v>
      </c>
    </row>
    <row r="119" spans="1:9" x14ac:dyDescent="0.2">
      <c r="A119" s="93">
        <f t="shared" si="27"/>
        <v>0</v>
      </c>
      <c r="B119" s="93">
        <f t="shared" ref="B119:B126" si="33">D33*$B$100</f>
        <v>0</v>
      </c>
      <c r="C119" s="93">
        <f t="shared" si="32"/>
        <v>0</v>
      </c>
      <c r="D119" s="93">
        <f t="shared" si="32"/>
        <v>0</v>
      </c>
      <c r="E119" s="93">
        <f t="shared" si="32"/>
        <v>0</v>
      </c>
      <c r="F119" s="93">
        <f t="shared" si="32"/>
        <v>0</v>
      </c>
      <c r="G119" s="93">
        <f t="shared" si="32"/>
        <v>0</v>
      </c>
      <c r="H119" s="93">
        <f t="shared" si="32"/>
        <v>0</v>
      </c>
    </row>
    <row r="120" spans="1:9" x14ac:dyDescent="0.2">
      <c r="A120" s="93">
        <f t="shared" si="27"/>
        <v>0</v>
      </c>
      <c r="B120" s="93">
        <f t="shared" si="33"/>
        <v>0</v>
      </c>
      <c r="C120" s="93">
        <f t="shared" si="32"/>
        <v>0</v>
      </c>
      <c r="D120" s="93">
        <f t="shared" si="32"/>
        <v>0</v>
      </c>
      <c r="E120" s="93">
        <f t="shared" si="32"/>
        <v>0</v>
      </c>
      <c r="F120" s="93">
        <f t="shared" si="32"/>
        <v>0</v>
      </c>
      <c r="G120" s="93">
        <f t="shared" si="32"/>
        <v>0</v>
      </c>
      <c r="H120" s="93">
        <f t="shared" si="32"/>
        <v>0</v>
      </c>
    </row>
    <row r="121" spans="1:9" x14ac:dyDescent="0.2">
      <c r="A121" s="93">
        <f t="shared" si="27"/>
        <v>0</v>
      </c>
      <c r="B121" s="93">
        <f t="shared" si="33"/>
        <v>0</v>
      </c>
      <c r="C121" s="93">
        <f t="shared" si="32"/>
        <v>0</v>
      </c>
      <c r="D121" s="93">
        <f t="shared" si="32"/>
        <v>0</v>
      </c>
      <c r="E121" s="93">
        <f t="shared" si="32"/>
        <v>0</v>
      </c>
      <c r="F121" s="93">
        <f t="shared" si="32"/>
        <v>0</v>
      </c>
      <c r="G121" s="93">
        <f t="shared" si="32"/>
        <v>0</v>
      </c>
      <c r="H121" s="93">
        <f t="shared" si="32"/>
        <v>0</v>
      </c>
    </row>
    <row r="122" spans="1:9" x14ac:dyDescent="0.2">
      <c r="A122" s="93">
        <f t="shared" si="27"/>
        <v>0</v>
      </c>
      <c r="B122" s="93">
        <f t="shared" si="33"/>
        <v>0</v>
      </c>
      <c r="C122" s="93">
        <f t="shared" si="32"/>
        <v>0</v>
      </c>
      <c r="D122" s="93">
        <f t="shared" si="32"/>
        <v>0</v>
      </c>
      <c r="E122" s="93">
        <f t="shared" si="32"/>
        <v>0</v>
      </c>
      <c r="F122" s="93">
        <f t="shared" si="32"/>
        <v>0</v>
      </c>
      <c r="G122" s="93">
        <f t="shared" si="32"/>
        <v>0</v>
      </c>
      <c r="H122" s="93">
        <f t="shared" si="32"/>
        <v>0</v>
      </c>
    </row>
    <row r="123" spans="1:9" x14ac:dyDescent="0.2">
      <c r="A123" s="93" t="str">
        <f t="shared" si="27"/>
        <v>Pomegranate</v>
      </c>
      <c r="B123" s="93">
        <f t="shared" si="33"/>
        <v>0</v>
      </c>
      <c r="C123" s="93">
        <f t="shared" si="32"/>
        <v>0</v>
      </c>
      <c r="D123" s="93">
        <f t="shared" si="32"/>
        <v>0</v>
      </c>
      <c r="E123" s="93">
        <f t="shared" si="32"/>
        <v>0</v>
      </c>
      <c r="F123" s="93">
        <f t="shared" si="32"/>
        <v>0</v>
      </c>
      <c r="G123" s="93">
        <f t="shared" si="32"/>
        <v>0</v>
      </c>
      <c r="H123" s="93">
        <f t="shared" si="32"/>
        <v>0</v>
      </c>
    </row>
    <row r="124" spans="1:9" x14ac:dyDescent="0.2">
      <c r="A124" s="93" t="str">
        <f t="shared" si="27"/>
        <v>Custard Apple</v>
      </c>
      <c r="B124" s="93">
        <f t="shared" si="33"/>
        <v>0</v>
      </c>
      <c r="C124" s="93">
        <f t="shared" si="32"/>
        <v>0</v>
      </c>
      <c r="D124" s="93">
        <f t="shared" si="32"/>
        <v>0</v>
      </c>
      <c r="E124" s="93">
        <f t="shared" si="32"/>
        <v>0</v>
      </c>
      <c r="F124" s="93">
        <f t="shared" si="32"/>
        <v>0</v>
      </c>
      <c r="G124" s="93">
        <f t="shared" si="32"/>
        <v>0</v>
      </c>
      <c r="H124" s="93">
        <f t="shared" si="32"/>
        <v>0</v>
      </c>
    </row>
    <row r="125" spans="1:9" x14ac:dyDescent="0.2">
      <c r="A125" s="93" t="str">
        <f t="shared" si="27"/>
        <v>Guava</v>
      </c>
      <c r="B125" s="93">
        <f t="shared" si="33"/>
        <v>0</v>
      </c>
      <c r="C125" s="93">
        <f t="shared" si="32"/>
        <v>0</v>
      </c>
      <c r="D125" s="93">
        <f t="shared" si="32"/>
        <v>0</v>
      </c>
      <c r="E125" s="93">
        <f t="shared" si="32"/>
        <v>0</v>
      </c>
      <c r="F125" s="93">
        <f t="shared" si="32"/>
        <v>0</v>
      </c>
      <c r="G125" s="93">
        <f t="shared" si="32"/>
        <v>0</v>
      </c>
      <c r="H125" s="93">
        <f t="shared" si="32"/>
        <v>0</v>
      </c>
    </row>
    <row r="126" spans="1:9" x14ac:dyDescent="0.2">
      <c r="A126" s="93" t="str">
        <f t="shared" si="27"/>
        <v>Citrus</v>
      </c>
      <c r="B126" s="93">
        <f t="shared" si="33"/>
        <v>0</v>
      </c>
      <c r="C126" s="93">
        <f t="shared" si="32"/>
        <v>0</v>
      </c>
      <c r="D126" s="93">
        <f t="shared" si="32"/>
        <v>0</v>
      </c>
      <c r="E126" s="93">
        <f t="shared" si="32"/>
        <v>0</v>
      </c>
      <c r="F126" s="93">
        <f t="shared" si="32"/>
        <v>0</v>
      </c>
      <c r="G126" s="93">
        <f t="shared" si="32"/>
        <v>0</v>
      </c>
      <c r="H126" s="93">
        <f t="shared" si="32"/>
        <v>0</v>
      </c>
    </row>
    <row r="128" spans="1:9" x14ac:dyDescent="0.2">
      <c r="C128" s="138"/>
      <c r="D128" s="150"/>
      <c r="E128" s="150"/>
      <c r="F128" s="150"/>
      <c r="G128" s="150"/>
      <c r="H128" s="150"/>
      <c r="I128" s="150"/>
    </row>
    <row r="129" spans="1:9" x14ac:dyDescent="0.2">
      <c r="A129" s="92" t="s">
        <v>536</v>
      </c>
      <c r="C129" s="134"/>
      <c r="D129" s="134"/>
      <c r="E129" s="134"/>
      <c r="F129" s="134"/>
      <c r="G129" s="134"/>
      <c r="H129" s="134"/>
      <c r="I129" s="134"/>
    </row>
    <row r="130" spans="1:9" x14ac:dyDescent="0.2">
      <c r="A130" s="92">
        <v>1</v>
      </c>
      <c r="B130" s="92" t="s">
        <v>537</v>
      </c>
    </row>
    <row r="131" spans="1:9" x14ac:dyDescent="0.2">
      <c r="A131" s="92">
        <v>2</v>
      </c>
      <c r="B131" s="92" t="s">
        <v>538</v>
      </c>
    </row>
    <row r="132" spans="1:9" x14ac:dyDescent="0.2">
      <c r="A132" s="92">
        <v>3</v>
      </c>
      <c r="B132" s="92" t="s">
        <v>539</v>
      </c>
    </row>
  </sheetData>
  <mergeCells count="13">
    <mergeCell ref="A37:A40"/>
    <mergeCell ref="A1:H1"/>
    <mergeCell ref="A3:B3"/>
    <mergeCell ref="A11:H11"/>
    <mergeCell ref="A14:A22"/>
    <mergeCell ref="A24:A31"/>
    <mergeCell ref="A100:A101"/>
    <mergeCell ref="A41:H41"/>
    <mergeCell ref="A43:H43"/>
    <mergeCell ref="A44:A45"/>
    <mergeCell ref="A71:H71"/>
    <mergeCell ref="A72:A73"/>
    <mergeCell ref="A99:H9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K172"/>
  <sheetViews>
    <sheetView tabSelected="1" view="pageBreakPreview" topLeftCell="A63" zoomScaleSheetLayoutView="100" workbookViewId="0">
      <selection activeCell="G68" sqref="G68"/>
    </sheetView>
  </sheetViews>
  <sheetFormatPr defaultColWidth="8.7421875" defaultRowHeight="15" x14ac:dyDescent="0.2"/>
  <cols>
    <col min="1" max="1" width="8.7421875" style="92"/>
    <col min="2" max="2" width="7.53125" style="92" bestFit="1" customWidth="1"/>
    <col min="3" max="3" width="41.56640625" style="92" customWidth="1"/>
    <col min="4" max="4" width="9.953125" style="92" bestFit="1" customWidth="1"/>
    <col min="5" max="5" width="16.94921875" style="92" customWidth="1"/>
    <col min="6" max="6" width="13.98828125" style="92" bestFit="1" customWidth="1"/>
    <col min="7" max="7" width="12.5078125" style="92" bestFit="1" customWidth="1"/>
    <col min="8" max="8" width="11.56640625" style="92" bestFit="1" customWidth="1"/>
    <col min="9" max="10" width="10.4921875" style="92" bestFit="1" customWidth="1"/>
    <col min="11" max="16384" width="8.7421875" style="92"/>
  </cols>
  <sheetData>
    <row r="2" spans="1:9" ht="18.75" x14ac:dyDescent="0.25">
      <c r="A2" s="92">
        <v>2.1</v>
      </c>
      <c r="B2" s="427" t="s">
        <v>154</v>
      </c>
      <c r="C2" s="427"/>
      <c r="D2" s="427"/>
      <c r="E2" s="427"/>
      <c r="F2" s="427"/>
      <c r="G2" s="427"/>
    </row>
    <row r="4" spans="1:9" x14ac:dyDescent="0.2">
      <c r="B4" s="16" t="s">
        <v>145</v>
      </c>
      <c r="C4" s="16" t="s">
        <v>127</v>
      </c>
      <c r="D4" s="16" t="s">
        <v>132</v>
      </c>
      <c r="E4" s="16" t="s">
        <v>146</v>
      </c>
      <c r="F4" s="16" t="s">
        <v>147</v>
      </c>
      <c r="G4" s="16" t="s">
        <v>157</v>
      </c>
    </row>
    <row r="5" spans="1:9" x14ac:dyDescent="0.2">
      <c r="B5" s="230">
        <v>1</v>
      </c>
      <c r="C5" s="230" t="s">
        <v>148</v>
      </c>
      <c r="D5" s="230" t="s">
        <v>149</v>
      </c>
      <c r="E5" s="231"/>
      <c r="F5" s="232"/>
      <c r="G5" s="233" t="s">
        <v>894</v>
      </c>
    </row>
    <row r="6" spans="1:9" x14ac:dyDescent="0.2">
      <c r="B6" s="230">
        <v>2</v>
      </c>
      <c r="C6" s="230" t="s">
        <v>895</v>
      </c>
      <c r="D6" s="234" t="s">
        <v>897</v>
      </c>
      <c r="E6" s="235">
        <v>366.92</v>
      </c>
      <c r="F6" s="236">
        <f t="shared" ref="F6:F7" si="0">G6/E6</f>
        <v>16057.467567862204</v>
      </c>
      <c r="G6" s="236">
        <v>5891806</v>
      </c>
      <c r="H6" s="146"/>
      <c r="I6" s="92" t="s">
        <v>747</v>
      </c>
    </row>
    <row r="7" spans="1:9" x14ac:dyDescent="0.2">
      <c r="B7" s="230">
        <v>3</v>
      </c>
      <c r="C7" s="230" t="s">
        <v>896</v>
      </c>
      <c r="D7" s="234" t="s">
        <v>897</v>
      </c>
      <c r="E7" s="235">
        <v>284.16000000000003</v>
      </c>
      <c r="F7" s="236">
        <f t="shared" si="0"/>
        <v>16390.364583333332</v>
      </c>
      <c r="G7" s="236">
        <v>4657486</v>
      </c>
      <c r="H7" s="146"/>
    </row>
    <row r="8" spans="1:9" x14ac:dyDescent="0.2">
      <c r="B8" s="230">
        <v>4</v>
      </c>
      <c r="C8" s="230" t="s">
        <v>893</v>
      </c>
      <c r="D8" s="234" t="s">
        <v>897</v>
      </c>
      <c r="E8" s="235">
        <v>282.18</v>
      </c>
      <c r="F8" s="236">
        <f>G8/E8</f>
        <v>19184.750230349422</v>
      </c>
      <c r="G8" s="236">
        <v>5413552.8200000003</v>
      </c>
      <c r="H8" s="146"/>
    </row>
    <row r="9" spans="1:9" x14ac:dyDescent="0.2">
      <c r="B9" s="230">
        <v>5</v>
      </c>
      <c r="C9" s="230" t="s">
        <v>834</v>
      </c>
      <c r="D9" s="234" t="s">
        <v>132</v>
      </c>
      <c r="E9" s="235">
        <v>1</v>
      </c>
      <c r="F9" s="236">
        <f>99500+118780</f>
        <v>218280</v>
      </c>
      <c r="G9" s="236">
        <f>F9</f>
        <v>218280</v>
      </c>
      <c r="I9" s="92" t="s">
        <v>863</v>
      </c>
    </row>
    <row r="10" spans="1:9" x14ac:dyDescent="0.2">
      <c r="B10" s="230">
        <v>6</v>
      </c>
      <c r="C10" s="230" t="s">
        <v>843</v>
      </c>
      <c r="D10" s="234" t="s">
        <v>132</v>
      </c>
      <c r="E10" s="235">
        <v>1</v>
      </c>
      <c r="F10" s="236">
        <v>474341</v>
      </c>
      <c r="G10" s="236">
        <f>F10</f>
        <v>474341</v>
      </c>
      <c r="I10" s="92" t="s">
        <v>863</v>
      </c>
    </row>
    <row r="11" spans="1:9" x14ac:dyDescent="0.2">
      <c r="B11" s="230">
        <v>7</v>
      </c>
      <c r="C11" s="230" t="s">
        <v>844</v>
      </c>
      <c r="D11" s="234" t="s">
        <v>132</v>
      </c>
      <c r="E11" s="235">
        <v>1</v>
      </c>
      <c r="F11" s="236">
        <v>345330</v>
      </c>
      <c r="G11" s="236">
        <f>F11</f>
        <v>345330</v>
      </c>
      <c r="I11" s="92" t="s">
        <v>863</v>
      </c>
    </row>
    <row r="12" spans="1:9" x14ac:dyDescent="0.2">
      <c r="B12" s="230"/>
      <c r="C12" s="230"/>
      <c r="D12" s="234"/>
      <c r="E12" s="235"/>
      <c r="F12" s="236"/>
      <c r="G12" s="237"/>
    </row>
    <row r="13" spans="1:9" x14ac:dyDescent="0.2">
      <c r="B13" s="434" t="s">
        <v>1</v>
      </c>
      <c r="C13" s="434"/>
      <c r="D13" s="434"/>
      <c r="E13" s="434"/>
      <c r="F13" s="434"/>
      <c r="G13" s="238">
        <f>SUM(G6:G12)</f>
        <v>17000795.82</v>
      </c>
      <c r="I13" s="147">
        <f>G13/754</f>
        <v>22547.474562334217</v>
      </c>
    </row>
    <row r="16" spans="1:9" x14ac:dyDescent="0.2">
      <c r="B16" s="429" t="s">
        <v>399</v>
      </c>
      <c r="C16" s="429"/>
      <c r="D16" s="429"/>
      <c r="E16" s="429"/>
      <c r="F16" s="429"/>
      <c r="G16" s="429"/>
    </row>
    <row r="18" spans="1:8" ht="18.75" x14ac:dyDescent="0.25">
      <c r="A18" s="92">
        <v>2.2000000000000002</v>
      </c>
      <c r="B18" s="427" t="s">
        <v>155</v>
      </c>
      <c r="C18" s="427"/>
      <c r="D18" s="427"/>
      <c r="E18" s="427"/>
      <c r="F18" s="427"/>
      <c r="G18" s="427"/>
      <c r="H18" s="427"/>
    </row>
    <row r="19" spans="1:8" x14ac:dyDescent="0.2">
      <c r="B19" s="134"/>
    </row>
    <row r="20" spans="1:8" x14ac:dyDescent="0.2">
      <c r="B20" s="16" t="s">
        <v>145</v>
      </c>
      <c r="C20" s="16" t="s">
        <v>150</v>
      </c>
      <c r="D20" s="16" t="s">
        <v>160</v>
      </c>
      <c r="E20" s="16" t="s">
        <v>151</v>
      </c>
      <c r="F20" s="16" t="s">
        <v>152</v>
      </c>
      <c r="G20" s="16" t="s">
        <v>157</v>
      </c>
      <c r="H20" s="16" t="s">
        <v>153</v>
      </c>
    </row>
    <row r="21" spans="1:8" x14ac:dyDescent="0.2">
      <c r="B21" s="71"/>
      <c r="C21" s="93"/>
      <c r="D21" s="93"/>
      <c r="E21" s="93"/>
      <c r="F21" s="93"/>
      <c r="G21" s="149"/>
      <c r="H21" s="239"/>
    </row>
    <row r="22" spans="1:8" x14ac:dyDescent="0.2">
      <c r="B22" s="121" t="s">
        <v>172</v>
      </c>
      <c r="C22" s="240" t="s">
        <v>356</v>
      </c>
      <c r="D22" s="240"/>
      <c r="E22" s="121"/>
      <c r="F22" s="241"/>
      <c r="G22" s="149"/>
      <c r="H22" s="242"/>
    </row>
    <row r="23" spans="1:8" hidden="1" x14ac:dyDescent="0.2">
      <c r="B23" s="121"/>
      <c r="C23" s="240"/>
      <c r="D23" s="240"/>
      <c r="E23" s="121"/>
      <c r="F23" s="241"/>
      <c r="G23" s="149"/>
      <c r="H23" s="242"/>
    </row>
    <row r="24" spans="1:8" hidden="1" x14ac:dyDescent="0.2">
      <c r="B24" s="121"/>
      <c r="C24" s="240"/>
      <c r="D24" s="240"/>
      <c r="E24" s="121"/>
      <c r="F24" s="241"/>
      <c r="G24" s="149"/>
      <c r="H24" s="242"/>
    </row>
    <row r="25" spans="1:8" hidden="1" x14ac:dyDescent="0.2">
      <c r="B25" s="121"/>
      <c r="C25" s="240"/>
      <c r="D25" s="240"/>
      <c r="E25" s="121"/>
      <c r="F25" s="241"/>
      <c r="G25" s="149"/>
      <c r="H25" s="242"/>
    </row>
    <row r="26" spans="1:8" hidden="1" x14ac:dyDescent="0.2">
      <c r="B26" s="121"/>
      <c r="C26" s="240"/>
      <c r="D26" s="240"/>
      <c r="E26" s="121"/>
      <c r="F26" s="241"/>
      <c r="G26" s="149"/>
      <c r="H26" s="242"/>
    </row>
    <row r="27" spans="1:8" hidden="1" x14ac:dyDescent="0.2">
      <c r="B27" s="121"/>
      <c r="C27" s="240"/>
      <c r="D27" s="240"/>
      <c r="E27" s="121"/>
      <c r="F27" s="241"/>
      <c r="G27" s="149"/>
      <c r="H27" s="242"/>
    </row>
    <row r="28" spans="1:8" hidden="1" x14ac:dyDescent="0.2">
      <c r="B28" s="121"/>
      <c r="C28" s="240"/>
      <c r="D28" s="240"/>
      <c r="E28" s="121"/>
      <c r="F28" s="241"/>
      <c r="G28" s="149"/>
      <c r="H28" s="242"/>
    </row>
    <row r="29" spans="1:8" hidden="1" x14ac:dyDescent="0.2">
      <c r="B29" s="121"/>
      <c r="C29" s="240"/>
      <c r="D29" s="240"/>
      <c r="E29" s="121"/>
      <c r="F29" s="241"/>
      <c r="G29" s="149"/>
      <c r="H29" s="242"/>
    </row>
    <row r="30" spans="1:8" hidden="1" x14ac:dyDescent="0.2">
      <c r="B30" s="121"/>
      <c r="C30" s="240"/>
      <c r="D30" s="121"/>
      <c r="E30" s="121"/>
      <c r="F30" s="241"/>
      <c r="G30" s="149"/>
      <c r="H30" s="242"/>
    </row>
    <row r="31" spans="1:8" hidden="1" x14ac:dyDescent="0.2">
      <c r="B31" s="121"/>
      <c r="C31" s="240"/>
      <c r="D31" s="121"/>
      <c r="E31" s="121"/>
      <c r="F31" s="241"/>
      <c r="G31" s="149"/>
      <c r="H31" s="242"/>
    </row>
    <row r="32" spans="1:8" hidden="1" x14ac:dyDescent="0.2">
      <c r="B32" s="121"/>
      <c r="C32" s="240"/>
      <c r="D32" s="121"/>
      <c r="E32" s="121"/>
      <c r="F32" s="241"/>
      <c r="G32" s="149"/>
      <c r="H32" s="242"/>
    </row>
    <row r="33" spans="2:8" hidden="1" x14ac:dyDescent="0.2">
      <c r="B33" s="121"/>
      <c r="C33" s="240"/>
      <c r="D33" s="121"/>
      <c r="E33" s="121"/>
      <c r="F33" s="241"/>
      <c r="G33" s="149"/>
      <c r="H33" s="242"/>
    </row>
    <row r="34" spans="2:8" hidden="1" x14ac:dyDescent="0.2">
      <c r="B34" s="121"/>
      <c r="C34" s="240"/>
      <c r="D34" s="121"/>
      <c r="E34" s="121"/>
      <c r="F34" s="241"/>
      <c r="G34" s="149"/>
      <c r="H34" s="242"/>
    </row>
    <row r="35" spans="2:8" hidden="1" x14ac:dyDescent="0.2">
      <c r="B35" s="121"/>
      <c r="C35" s="240"/>
      <c r="D35" s="121"/>
      <c r="E35" s="121"/>
      <c r="F35" s="241"/>
      <c r="G35" s="149"/>
      <c r="H35" s="242"/>
    </row>
    <row r="36" spans="2:8" x14ac:dyDescent="0.2">
      <c r="B36" s="121"/>
      <c r="C36" s="240"/>
      <c r="D36" s="121"/>
      <c r="E36" s="121"/>
      <c r="F36" s="241"/>
      <c r="G36" s="149"/>
      <c r="H36" s="242"/>
    </row>
    <row r="37" spans="2:8" x14ac:dyDescent="0.2">
      <c r="B37" s="431" t="s">
        <v>170</v>
      </c>
      <c r="C37" s="431"/>
      <c r="D37" s="121"/>
      <c r="E37" s="121"/>
      <c r="F37" s="243"/>
      <c r="G37" s="149">
        <f>SUM(G22:G36)</f>
        <v>0</v>
      </c>
      <c r="H37" s="58">
        <f>SUM(H22:H33)</f>
        <v>0</v>
      </c>
    </row>
    <row r="38" spans="2:8" x14ac:dyDescent="0.2">
      <c r="B38" s="121" t="s">
        <v>173</v>
      </c>
      <c r="C38" s="240"/>
      <c r="D38" s="71"/>
      <c r="E38" s="71"/>
      <c r="F38" s="149"/>
      <c r="G38" s="149"/>
      <c r="H38" s="239"/>
    </row>
    <row r="39" spans="2:8" x14ac:dyDescent="0.2">
      <c r="B39" s="121" t="s">
        <v>172</v>
      </c>
      <c r="C39" s="244" t="s">
        <v>806</v>
      </c>
      <c r="D39" s="70"/>
      <c r="E39" s="71"/>
      <c r="F39" s="149"/>
      <c r="G39" s="149"/>
      <c r="H39" s="239"/>
    </row>
    <row r="40" spans="2:8" ht="25.5" x14ac:dyDescent="0.2">
      <c r="B40" s="121">
        <v>1</v>
      </c>
      <c r="C40" s="245" t="s">
        <v>807</v>
      </c>
      <c r="D40" s="71"/>
      <c r="E40" s="71">
        <v>1</v>
      </c>
      <c r="F40" s="149">
        <v>128000</v>
      </c>
      <c r="G40" s="149">
        <f t="shared" ref="G40:G48" si="1">E40*F40</f>
        <v>128000</v>
      </c>
      <c r="H40" s="239">
        <v>15</v>
      </c>
    </row>
    <row r="41" spans="2:8" ht="25.5" x14ac:dyDescent="0.2">
      <c r="B41" s="71">
        <v>2</v>
      </c>
      <c r="C41" s="245" t="s">
        <v>808</v>
      </c>
      <c r="D41" s="71"/>
      <c r="E41" s="71">
        <v>5</v>
      </c>
      <c r="F41" s="149">
        <v>306000</v>
      </c>
      <c r="G41" s="149">
        <f t="shared" si="1"/>
        <v>1530000</v>
      </c>
      <c r="H41" s="239">
        <v>4</v>
      </c>
    </row>
    <row r="42" spans="2:8" ht="25.5" x14ac:dyDescent="0.2">
      <c r="B42" s="71">
        <v>3</v>
      </c>
      <c r="C42" s="245" t="s">
        <v>809</v>
      </c>
      <c r="D42" s="71"/>
      <c r="E42" s="71">
        <v>1</v>
      </c>
      <c r="F42" s="149">
        <v>374000</v>
      </c>
      <c r="G42" s="149">
        <f t="shared" si="1"/>
        <v>374000</v>
      </c>
      <c r="H42" s="239">
        <v>7.5</v>
      </c>
    </row>
    <row r="43" spans="2:8" ht="25.5" x14ac:dyDescent="0.2">
      <c r="B43" s="71">
        <v>4</v>
      </c>
      <c r="C43" s="245" t="s">
        <v>810</v>
      </c>
      <c r="D43" s="71"/>
      <c r="E43" s="71">
        <v>1</v>
      </c>
      <c r="F43" s="149">
        <v>485000</v>
      </c>
      <c r="G43" s="149">
        <f t="shared" si="1"/>
        <v>485000</v>
      </c>
      <c r="H43" s="239">
        <v>3</v>
      </c>
    </row>
    <row r="44" spans="2:8" ht="25.5" x14ac:dyDescent="0.2">
      <c r="B44" s="71">
        <v>5</v>
      </c>
      <c r="C44" s="245" t="s">
        <v>811</v>
      </c>
      <c r="D44" s="71"/>
      <c r="E44" s="71">
        <v>1</v>
      </c>
      <c r="F44" s="149">
        <v>134000</v>
      </c>
      <c r="G44" s="149">
        <f t="shared" si="1"/>
        <v>134000</v>
      </c>
      <c r="H44" s="239">
        <v>2</v>
      </c>
    </row>
    <row r="45" spans="2:8" x14ac:dyDescent="0.2">
      <c r="B45" s="71">
        <v>6</v>
      </c>
      <c r="C45" s="93" t="s">
        <v>812</v>
      </c>
      <c r="D45" s="71"/>
      <c r="E45" s="71">
        <v>20</v>
      </c>
      <c r="F45" s="149">
        <v>790</v>
      </c>
      <c r="G45" s="149">
        <f t="shared" si="1"/>
        <v>15800</v>
      </c>
      <c r="H45" s="239"/>
    </row>
    <row r="46" spans="2:8" x14ac:dyDescent="0.2">
      <c r="B46" s="71">
        <v>7</v>
      </c>
      <c r="C46" s="93" t="s">
        <v>813</v>
      </c>
      <c r="D46" s="71"/>
      <c r="E46" s="71">
        <v>4</v>
      </c>
      <c r="F46" s="149">
        <v>1650</v>
      </c>
      <c r="G46" s="149">
        <f t="shared" si="1"/>
        <v>6600</v>
      </c>
      <c r="H46" s="239">
        <v>5</v>
      </c>
    </row>
    <row r="47" spans="2:8" ht="25.5" x14ac:dyDescent="0.2">
      <c r="B47" s="71">
        <v>8</v>
      </c>
      <c r="C47" s="245" t="s">
        <v>814</v>
      </c>
      <c r="D47" s="71"/>
      <c r="E47" s="71">
        <v>1</v>
      </c>
      <c r="F47" s="149">
        <v>40000</v>
      </c>
      <c r="G47" s="149">
        <f t="shared" si="1"/>
        <v>40000</v>
      </c>
      <c r="H47" s="239"/>
    </row>
    <row r="48" spans="2:8" ht="25.5" x14ac:dyDescent="0.2">
      <c r="B48" s="71">
        <v>9</v>
      </c>
      <c r="C48" s="245" t="s">
        <v>815</v>
      </c>
      <c r="D48" s="71"/>
      <c r="E48" s="71">
        <v>1</v>
      </c>
      <c r="F48" s="149">
        <v>24000</v>
      </c>
      <c r="G48" s="149">
        <f t="shared" si="1"/>
        <v>24000</v>
      </c>
      <c r="H48" s="239"/>
    </row>
    <row r="49" spans="2:9" x14ac:dyDescent="0.2">
      <c r="B49" s="71">
        <v>10</v>
      </c>
      <c r="C49" s="245" t="s">
        <v>748</v>
      </c>
      <c r="D49" s="71"/>
      <c r="E49" s="71"/>
      <c r="F49" s="149"/>
      <c r="G49" s="149">
        <f>SUM(G40:G48)*18%</f>
        <v>492732</v>
      </c>
      <c r="H49" s="239"/>
    </row>
    <row r="50" spans="2:9" x14ac:dyDescent="0.2">
      <c r="B50" s="435" t="s">
        <v>170</v>
      </c>
      <c r="C50" s="435"/>
      <c r="D50" s="121"/>
      <c r="E50" s="121"/>
      <c r="F50" s="243"/>
      <c r="G50" s="243">
        <f>SUM(G40:G49)</f>
        <v>3230132</v>
      </c>
      <c r="H50" s="246">
        <f>SUM(H40:H47)</f>
        <v>36.5</v>
      </c>
      <c r="I50" s="92" t="s">
        <v>863</v>
      </c>
    </row>
    <row r="51" spans="2:9" x14ac:dyDescent="0.2">
      <c r="B51" s="71"/>
      <c r="C51" s="70"/>
      <c r="D51" s="71"/>
      <c r="E51" s="121"/>
      <c r="F51" s="149"/>
      <c r="G51" s="243"/>
      <c r="H51" s="239"/>
    </row>
    <row r="52" spans="2:9" x14ac:dyDescent="0.2">
      <c r="B52" s="121" t="s">
        <v>173</v>
      </c>
      <c r="C52" s="240" t="s">
        <v>887</v>
      </c>
      <c r="D52" s="71"/>
      <c r="E52" s="71"/>
      <c r="F52" s="149"/>
      <c r="G52" s="149"/>
      <c r="H52" s="239"/>
    </row>
    <row r="53" spans="2:9" x14ac:dyDescent="0.2">
      <c r="B53" s="71">
        <v>1</v>
      </c>
      <c r="C53" s="93" t="s">
        <v>825</v>
      </c>
      <c r="D53" s="71"/>
      <c r="E53" s="71">
        <v>1</v>
      </c>
      <c r="F53" s="149">
        <v>282000</v>
      </c>
      <c r="G53" s="149">
        <f t="shared" ref="G53:G66" si="2">E53*F53</f>
        <v>282000</v>
      </c>
      <c r="H53" s="239"/>
    </row>
    <row r="54" spans="2:9" x14ac:dyDescent="0.2">
      <c r="B54" s="71">
        <v>2</v>
      </c>
      <c r="C54" s="70" t="s">
        <v>826</v>
      </c>
      <c r="D54" s="70"/>
      <c r="E54" s="71">
        <v>1</v>
      </c>
      <c r="F54" s="149">
        <v>282000</v>
      </c>
      <c r="G54" s="149">
        <f t="shared" si="2"/>
        <v>282000</v>
      </c>
      <c r="H54" s="239"/>
    </row>
    <row r="55" spans="2:9" x14ac:dyDescent="0.2">
      <c r="B55" s="71">
        <v>3</v>
      </c>
      <c r="C55" s="70" t="s">
        <v>827</v>
      </c>
      <c r="D55" s="70"/>
      <c r="E55" s="71">
        <v>1</v>
      </c>
      <c r="F55" s="149">
        <v>420000</v>
      </c>
      <c r="G55" s="149">
        <f t="shared" si="2"/>
        <v>420000</v>
      </c>
      <c r="H55" s="239"/>
    </row>
    <row r="56" spans="2:9" x14ac:dyDescent="0.2">
      <c r="B56" s="71">
        <v>4</v>
      </c>
      <c r="C56" s="70" t="s">
        <v>828</v>
      </c>
      <c r="D56" s="70"/>
      <c r="E56" s="71">
        <v>1</v>
      </c>
      <c r="F56" s="149">
        <v>165000</v>
      </c>
      <c r="G56" s="149">
        <f t="shared" si="2"/>
        <v>165000</v>
      </c>
      <c r="H56" s="247"/>
    </row>
    <row r="57" spans="2:9" x14ac:dyDescent="0.2">
      <c r="B57" s="71">
        <v>5</v>
      </c>
      <c r="C57" s="70" t="s">
        <v>829</v>
      </c>
      <c r="D57" s="70"/>
      <c r="E57" s="71">
        <v>1</v>
      </c>
      <c r="F57" s="149">
        <v>310000</v>
      </c>
      <c r="G57" s="149">
        <f t="shared" si="2"/>
        <v>310000</v>
      </c>
      <c r="H57" s="247"/>
    </row>
    <row r="58" spans="2:9" x14ac:dyDescent="0.2">
      <c r="B58" s="71">
        <v>6</v>
      </c>
      <c r="C58" s="70" t="s">
        <v>830</v>
      </c>
      <c r="D58" s="70"/>
      <c r="E58" s="71">
        <v>1</v>
      </c>
      <c r="F58" s="149">
        <v>371000</v>
      </c>
      <c r="G58" s="149">
        <f t="shared" si="2"/>
        <v>371000</v>
      </c>
      <c r="H58" s="247"/>
    </row>
    <row r="59" spans="2:9" x14ac:dyDescent="0.2">
      <c r="B59" s="71">
        <v>7</v>
      </c>
      <c r="C59" s="70" t="s">
        <v>831</v>
      </c>
      <c r="D59" s="70"/>
      <c r="E59" s="71">
        <v>1</v>
      </c>
      <c r="F59" s="149">
        <v>200000</v>
      </c>
      <c r="G59" s="149">
        <f t="shared" si="2"/>
        <v>200000</v>
      </c>
      <c r="H59" s="247"/>
    </row>
    <row r="60" spans="2:9" x14ac:dyDescent="0.2">
      <c r="B60" s="71">
        <v>8</v>
      </c>
      <c r="C60" s="70" t="s">
        <v>832</v>
      </c>
      <c r="D60" s="70"/>
      <c r="E60" s="71">
        <v>1</v>
      </c>
      <c r="F60" s="149">
        <v>300000</v>
      </c>
      <c r="G60" s="149">
        <f t="shared" si="2"/>
        <v>300000</v>
      </c>
      <c r="H60" s="247"/>
    </row>
    <row r="61" spans="2:9" x14ac:dyDescent="0.2">
      <c r="B61" s="71">
        <v>9</v>
      </c>
      <c r="C61" s="70" t="s">
        <v>888</v>
      </c>
      <c r="D61" s="70"/>
      <c r="E61" s="71">
        <v>1</v>
      </c>
      <c r="F61" s="149">
        <v>650000</v>
      </c>
      <c r="G61" s="149">
        <f t="shared" si="2"/>
        <v>650000</v>
      </c>
      <c r="H61" s="247"/>
    </row>
    <row r="62" spans="2:9" x14ac:dyDescent="0.2">
      <c r="B62" s="71">
        <v>10</v>
      </c>
      <c r="C62" s="70" t="s">
        <v>889</v>
      </c>
      <c r="D62" s="70"/>
      <c r="E62" s="71">
        <v>1</v>
      </c>
      <c r="F62" s="149">
        <v>310000</v>
      </c>
      <c r="G62" s="149">
        <f t="shared" si="2"/>
        <v>310000</v>
      </c>
      <c r="H62" s="247"/>
    </row>
    <row r="63" spans="2:9" x14ac:dyDescent="0.2">
      <c r="B63" s="71">
        <v>11</v>
      </c>
      <c r="C63" s="70" t="s">
        <v>890</v>
      </c>
      <c r="D63" s="70"/>
      <c r="E63" s="71">
        <v>2</v>
      </c>
      <c r="F63" s="149">
        <v>800000</v>
      </c>
      <c r="G63" s="149">
        <f t="shared" si="2"/>
        <v>1600000</v>
      </c>
      <c r="H63" s="247"/>
    </row>
    <row r="64" spans="2:9" x14ac:dyDescent="0.2">
      <c r="B64" s="71">
        <v>12</v>
      </c>
      <c r="C64" s="70" t="s">
        <v>891</v>
      </c>
      <c r="D64" s="70"/>
      <c r="E64" s="71">
        <v>1</v>
      </c>
      <c r="F64" s="149">
        <v>190000</v>
      </c>
      <c r="G64" s="149">
        <f t="shared" si="2"/>
        <v>190000</v>
      </c>
      <c r="H64" s="247"/>
    </row>
    <row r="65" spans="2:9" x14ac:dyDescent="0.2">
      <c r="B65" s="71">
        <v>13</v>
      </c>
      <c r="C65" s="70" t="s">
        <v>892</v>
      </c>
      <c r="D65" s="70"/>
      <c r="E65" s="71">
        <v>1</v>
      </c>
      <c r="F65" s="149">
        <v>70000</v>
      </c>
      <c r="G65" s="149">
        <f t="shared" si="2"/>
        <v>70000</v>
      </c>
      <c r="H65" s="247"/>
    </row>
    <row r="66" spans="2:9" x14ac:dyDescent="0.2">
      <c r="B66" s="71">
        <v>14</v>
      </c>
      <c r="C66" s="70" t="s">
        <v>833</v>
      </c>
      <c r="D66" s="70"/>
      <c r="E66" s="71">
        <v>1</v>
      </c>
      <c r="F66" s="149">
        <v>150000</v>
      </c>
      <c r="G66" s="149">
        <f t="shared" si="2"/>
        <v>150000</v>
      </c>
      <c r="H66" s="247"/>
    </row>
    <row r="67" spans="2:9" x14ac:dyDescent="0.2">
      <c r="B67" s="71">
        <v>15</v>
      </c>
      <c r="C67" s="70" t="s">
        <v>748</v>
      </c>
      <c r="D67" s="70"/>
      <c r="E67" s="71"/>
      <c r="F67" s="149"/>
      <c r="G67" s="149">
        <f>SUM(G53:G66)*18%</f>
        <v>954000</v>
      </c>
      <c r="H67" s="247"/>
    </row>
    <row r="68" spans="2:9" x14ac:dyDescent="0.2">
      <c r="B68" s="431" t="s">
        <v>170</v>
      </c>
      <c r="C68" s="431"/>
      <c r="D68" s="70"/>
      <c r="E68" s="71"/>
      <c r="F68" s="149"/>
      <c r="G68" s="243">
        <f>SUM(G53:G67)</f>
        <v>6254000</v>
      </c>
      <c r="H68" s="246">
        <v>10</v>
      </c>
      <c r="I68" s="92" t="s">
        <v>863</v>
      </c>
    </row>
    <row r="69" spans="2:9" x14ac:dyDescent="0.2">
      <c r="B69" s="121"/>
      <c r="C69" s="121"/>
      <c r="D69" s="70"/>
      <c r="E69" s="71"/>
      <c r="F69" s="149"/>
      <c r="G69" s="149"/>
      <c r="H69" s="58"/>
    </row>
    <row r="70" spans="2:9" x14ac:dyDescent="0.2">
      <c r="B70" s="121" t="s">
        <v>174</v>
      </c>
      <c r="C70" s="248" t="s">
        <v>766</v>
      </c>
      <c r="D70" s="70"/>
      <c r="E70" s="71"/>
      <c r="F70" s="149"/>
      <c r="G70" s="149">
        <f>E70*F70</f>
        <v>0</v>
      </c>
      <c r="H70" s="58"/>
    </row>
    <row r="71" spans="2:9" x14ac:dyDescent="0.2">
      <c r="B71" s="121">
        <v>1</v>
      </c>
      <c r="C71" s="249" t="s">
        <v>823</v>
      </c>
      <c r="D71" s="70"/>
      <c r="E71" s="71">
        <v>1</v>
      </c>
      <c r="F71" s="149">
        <v>580000</v>
      </c>
      <c r="G71" s="149">
        <f t="shared" ref="G71" si="3">E71*F71</f>
        <v>580000</v>
      </c>
      <c r="H71" s="58"/>
      <c r="I71" s="92" t="s">
        <v>863</v>
      </c>
    </row>
    <row r="72" spans="2:9" x14ac:dyDescent="0.2">
      <c r="B72" s="121">
        <v>2</v>
      </c>
      <c r="C72" s="249" t="s">
        <v>765</v>
      </c>
      <c r="D72" s="70"/>
      <c r="E72" s="71"/>
      <c r="F72" s="149"/>
      <c r="G72" s="149">
        <f>G71*12%</f>
        <v>69600</v>
      </c>
      <c r="H72" s="58"/>
    </row>
    <row r="73" spans="2:9" x14ac:dyDescent="0.2">
      <c r="B73" s="431" t="s">
        <v>170</v>
      </c>
      <c r="C73" s="431"/>
      <c r="D73" s="70"/>
      <c r="E73" s="71"/>
      <c r="F73" s="149"/>
      <c r="G73" s="243">
        <f>SUM(G70:G72)</f>
        <v>649600</v>
      </c>
      <c r="H73" s="58">
        <f>SUM(H70:H72)</f>
        <v>0</v>
      </c>
    </row>
    <row r="74" spans="2:9" x14ac:dyDescent="0.2">
      <c r="B74" s="71"/>
      <c r="C74" s="70"/>
      <c r="D74" s="70"/>
      <c r="E74" s="71"/>
      <c r="F74" s="149"/>
      <c r="G74" s="149"/>
      <c r="H74" s="239"/>
    </row>
    <row r="75" spans="2:9" x14ac:dyDescent="0.2">
      <c r="B75" s="121" t="s">
        <v>175</v>
      </c>
      <c r="C75" s="240" t="s">
        <v>761</v>
      </c>
      <c r="D75" s="70"/>
      <c r="E75" s="71"/>
      <c r="F75" s="149"/>
      <c r="G75" s="149"/>
      <c r="H75" s="239"/>
    </row>
    <row r="76" spans="2:9" ht="63" x14ac:dyDescent="0.2">
      <c r="B76" s="71">
        <v>1</v>
      </c>
      <c r="C76" s="245" t="s">
        <v>797</v>
      </c>
      <c r="D76" s="70"/>
      <c r="E76" s="71">
        <v>1</v>
      </c>
      <c r="F76" s="149">
        <v>170000</v>
      </c>
      <c r="G76" s="149">
        <f>E76*F76</f>
        <v>170000</v>
      </c>
      <c r="H76" s="239"/>
    </row>
    <row r="77" spans="2:9" ht="38.25" x14ac:dyDescent="0.2">
      <c r="B77" s="71">
        <v>2</v>
      </c>
      <c r="C77" s="245" t="s">
        <v>798</v>
      </c>
      <c r="D77" s="70"/>
      <c r="E77" s="71">
        <v>1</v>
      </c>
      <c r="F77" s="149">
        <v>240000</v>
      </c>
      <c r="G77" s="149">
        <f t="shared" ref="G77:G79" si="4">E77*F77</f>
        <v>240000</v>
      </c>
      <c r="H77" s="239"/>
    </row>
    <row r="78" spans="2:9" ht="63" x14ac:dyDescent="0.2">
      <c r="B78" s="71">
        <v>3</v>
      </c>
      <c r="C78" s="245" t="s">
        <v>799</v>
      </c>
      <c r="D78" s="70"/>
      <c r="E78" s="71">
        <v>1</v>
      </c>
      <c r="F78" s="149">
        <v>30000</v>
      </c>
      <c r="G78" s="149">
        <f t="shared" si="4"/>
        <v>30000</v>
      </c>
      <c r="H78" s="239"/>
    </row>
    <row r="79" spans="2:9" ht="25.5" x14ac:dyDescent="0.2">
      <c r="B79" s="71">
        <v>4</v>
      </c>
      <c r="C79" s="245" t="s">
        <v>800</v>
      </c>
      <c r="D79" s="70"/>
      <c r="E79" s="71">
        <v>4</v>
      </c>
      <c r="F79" s="149">
        <v>35000</v>
      </c>
      <c r="G79" s="149">
        <f t="shared" si="4"/>
        <v>140000</v>
      </c>
      <c r="H79" s="239"/>
    </row>
    <row r="80" spans="2:9" ht="50.25" x14ac:dyDescent="0.2">
      <c r="B80" s="71">
        <v>5</v>
      </c>
      <c r="C80" s="245" t="s">
        <v>801</v>
      </c>
      <c r="D80" s="70"/>
      <c r="E80" s="71" t="s">
        <v>804</v>
      </c>
      <c r="F80" s="149">
        <v>40000</v>
      </c>
      <c r="G80" s="149">
        <f>F80</f>
        <v>40000</v>
      </c>
      <c r="H80" s="239"/>
    </row>
    <row r="81" spans="2:9" ht="38.25" x14ac:dyDescent="0.2">
      <c r="B81" s="71">
        <v>6</v>
      </c>
      <c r="C81" s="245" t="s">
        <v>802</v>
      </c>
      <c r="D81" s="70"/>
      <c r="E81" s="71" t="s">
        <v>804</v>
      </c>
      <c r="F81" s="149">
        <v>40000</v>
      </c>
      <c r="G81" s="149">
        <f t="shared" ref="G81:G82" si="5">F81</f>
        <v>40000</v>
      </c>
      <c r="H81" s="239"/>
    </row>
    <row r="82" spans="2:9" ht="38.25" x14ac:dyDescent="0.2">
      <c r="B82" s="71">
        <v>7</v>
      </c>
      <c r="C82" s="245" t="s">
        <v>803</v>
      </c>
      <c r="D82" s="70"/>
      <c r="E82" s="71" t="s">
        <v>804</v>
      </c>
      <c r="F82" s="149">
        <v>40000</v>
      </c>
      <c r="G82" s="149">
        <f t="shared" si="5"/>
        <v>40000</v>
      </c>
      <c r="H82" s="239"/>
    </row>
    <row r="83" spans="2:9" x14ac:dyDescent="0.2">
      <c r="B83" s="71">
        <v>8</v>
      </c>
      <c r="C83" s="245" t="s">
        <v>805</v>
      </c>
      <c r="D83" s="70"/>
      <c r="E83" s="71"/>
      <c r="F83" s="149"/>
      <c r="G83" s="149">
        <f>SUM(G76:G79)*18%</f>
        <v>104400</v>
      </c>
      <c r="H83" s="239"/>
    </row>
    <row r="84" spans="2:9" x14ac:dyDescent="0.2">
      <c r="B84" s="431" t="s">
        <v>170</v>
      </c>
      <c r="C84" s="431"/>
      <c r="D84" s="70"/>
      <c r="E84" s="71"/>
      <c r="F84" s="149"/>
      <c r="G84" s="243">
        <f>SUM(G76:G83)</f>
        <v>804400</v>
      </c>
      <c r="H84" s="239"/>
      <c r="I84" s="92" t="s">
        <v>863</v>
      </c>
    </row>
    <row r="85" spans="2:9" x14ac:dyDescent="0.2">
      <c r="B85" s="121" t="s">
        <v>767</v>
      </c>
      <c r="C85" s="240" t="s">
        <v>835</v>
      </c>
      <c r="D85" s="70"/>
      <c r="E85" s="71"/>
      <c r="F85" s="149"/>
      <c r="G85" s="149"/>
      <c r="H85" s="239"/>
    </row>
    <row r="86" spans="2:9" x14ac:dyDescent="0.2">
      <c r="B86" s="71">
        <v>1</v>
      </c>
      <c r="C86" s="70" t="s">
        <v>836</v>
      </c>
      <c r="D86" s="70"/>
      <c r="E86" s="71">
        <v>1000</v>
      </c>
      <c r="F86" s="149">
        <v>230</v>
      </c>
      <c r="G86" s="149">
        <f>E86*F86</f>
        <v>230000</v>
      </c>
      <c r="H86" s="239"/>
      <c r="I86" s="92" t="s">
        <v>863</v>
      </c>
    </row>
    <row r="87" spans="2:9" x14ac:dyDescent="0.2">
      <c r="B87" s="71">
        <v>2</v>
      </c>
      <c r="C87" s="70" t="s">
        <v>837</v>
      </c>
      <c r="D87" s="70"/>
      <c r="E87" s="71">
        <v>250</v>
      </c>
      <c r="F87" s="149">
        <v>260</v>
      </c>
      <c r="G87" s="149">
        <f t="shared" ref="G87:G90" si="6">E87*F87</f>
        <v>65000</v>
      </c>
      <c r="H87" s="239"/>
      <c r="I87" s="92" t="s">
        <v>863</v>
      </c>
    </row>
    <row r="88" spans="2:9" x14ac:dyDescent="0.2">
      <c r="B88" s="71">
        <v>3</v>
      </c>
      <c r="C88" s="70" t="s">
        <v>838</v>
      </c>
      <c r="D88" s="70"/>
      <c r="E88" s="71">
        <v>250</v>
      </c>
      <c r="F88" s="149">
        <v>150</v>
      </c>
      <c r="G88" s="149">
        <f t="shared" si="6"/>
        <v>37500</v>
      </c>
      <c r="H88" s="239"/>
      <c r="I88" s="92" t="s">
        <v>863</v>
      </c>
    </row>
    <row r="89" spans="2:9" x14ac:dyDescent="0.2">
      <c r="B89" s="71">
        <v>4</v>
      </c>
      <c r="C89" s="70" t="s">
        <v>839</v>
      </c>
      <c r="D89" s="70"/>
      <c r="E89" s="71">
        <v>20</v>
      </c>
      <c r="F89" s="149">
        <v>3150</v>
      </c>
      <c r="G89" s="149">
        <f t="shared" si="6"/>
        <v>63000</v>
      </c>
      <c r="H89" s="239"/>
      <c r="I89" s="92" t="s">
        <v>863</v>
      </c>
    </row>
    <row r="90" spans="2:9" x14ac:dyDescent="0.2">
      <c r="B90" s="71">
        <v>5</v>
      </c>
      <c r="C90" s="70" t="s">
        <v>840</v>
      </c>
      <c r="D90" s="70"/>
      <c r="E90" s="71">
        <v>2</v>
      </c>
      <c r="F90" s="149">
        <v>26000</v>
      </c>
      <c r="G90" s="149">
        <f t="shared" si="6"/>
        <v>52000</v>
      </c>
      <c r="H90" s="239"/>
      <c r="I90" s="92" t="s">
        <v>863</v>
      </c>
    </row>
    <row r="91" spans="2:9" x14ac:dyDescent="0.2">
      <c r="B91" s="71">
        <v>6</v>
      </c>
      <c r="C91" s="70" t="s">
        <v>841</v>
      </c>
      <c r="D91" s="70"/>
      <c r="E91" s="71"/>
      <c r="F91" s="149"/>
      <c r="G91" s="149">
        <f>SUM(G86:G90)*18%</f>
        <v>80550</v>
      </c>
      <c r="H91" s="239"/>
    </row>
    <row r="92" spans="2:9" x14ac:dyDescent="0.2">
      <c r="B92" s="431" t="s">
        <v>170</v>
      </c>
      <c r="C92" s="431"/>
      <c r="D92" s="70"/>
      <c r="E92" s="71"/>
      <c r="F92" s="149"/>
      <c r="G92" s="243">
        <f>SUM(G86:G91)</f>
        <v>528050</v>
      </c>
      <c r="H92" s="239"/>
    </row>
    <row r="93" spans="2:9" x14ac:dyDescent="0.2">
      <c r="B93" s="121"/>
      <c r="C93" s="121"/>
      <c r="D93" s="70"/>
      <c r="E93" s="71"/>
      <c r="F93" s="149"/>
      <c r="G93" s="149"/>
      <c r="H93" s="239"/>
    </row>
    <row r="94" spans="2:9" x14ac:dyDescent="0.2">
      <c r="B94" s="121" t="s">
        <v>768</v>
      </c>
      <c r="C94" s="121" t="s">
        <v>886</v>
      </c>
      <c r="D94" s="70"/>
      <c r="E94" s="71"/>
      <c r="F94" s="149"/>
      <c r="G94" s="149"/>
      <c r="H94" s="239"/>
    </row>
    <row r="95" spans="2:9" x14ac:dyDescent="0.2">
      <c r="B95" s="71">
        <v>1</v>
      </c>
      <c r="C95" s="249" t="s">
        <v>871</v>
      </c>
      <c r="D95" s="70"/>
      <c r="E95" s="71">
        <v>1</v>
      </c>
      <c r="F95" s="149">
        <v>38939</v>
      </c>
      <c r="G95" s="149">
        <f>F95*E95</f>
        <v>38939</v>
      </c>
      <c r="H95" s="239"/>
    </row>
    <row r="96" spans="2:9" x14ac:dyDescent="0.2">
      <c r="B96" s="71">
        <v>2</v>
      </c>
      <c r="C96" s="249" t="s">
        <v>871</v>
      </c>
      <c r="D96" s="70"/>
      <c r="E96" s="71">
        <v>1</v>
      </c>
      <c r="F96" s="149">
        <v>41200</v>
      </c>
      <c r="G96" s="149">
        <f t="shared" ref="G96:G99" si="7">F96*E96</f>
        <v>41200</v>
      </c>
      <c r="H96" s="239"/>
    </row>
    <row r="97" spans="1:11" x14ac:dyDescent="0.2">
      <c r="B97" s="71">
        <v>3</v>
      </c>
      <c r="C97" s="249" t="s">
        <v>872</v>
      </c>
      <c r="D97" s="70"/>
      <c r="E97" s="71">
        <v>1</v>
      </c>
      <c r="F97" s="149">
        <v>73300</v>
      </c>
      <c r="G97" s="149">
        <f t="shared" si="7"/>
        <v>73300</v>
      </c>
      <c r="H97" s="239"/>
    </row>
    <row r="98" spans="1:11" x14ac:dyDescent="0.2">
      <c r="B98" s="71">
        <v>4</v>
      </c>
      <c r="C98" s="249" t="s">
        <v>873</v>
      </c>
      <c r="D98" s="70"/>
      <c r="E98" s="71">
        <v>1</v>
      </c>
      <c r="F98" s="149">
        <v>40690</v>
      </c>
      <c r="G98" s="149">
        <f t="shared" si="7"/>
        <v>40690</v>
      </c>
      <c r="H98" s="239"/>
    </row>
    <row r="99" spans="1:11" x14ac:dyDescent="0.2">
      <c r="B99" s="71">
        <v>5</v>
      </c>
      <c r="C99" s="249" t="s">
        <v>874</v>
      </c>
      <c r="D99" s="70"/>
      <c r="E99" s="71">
        <v>1</v>
      </c>
      <c r="F99" s="149">
        <v>40690</v>
      </c>
      <c r="G99" s="149">
        <f t="shared" si="7"/>
        <v>40690</v>
      </c>
      <c r="H99" s="239"/>
    </row>
    <row r="100" spans="1:11" x14ac:dyDescent="0.2">
      <c r="B100" s="431" t="s">
        <v>170</v>
      </c>
      <c r="C100" s="431"/>
      <c r="D100" s="70"/>
      <c r="E100" s="71"/>
      <c r="F100" s="149"/>
      <c r="G100" s="243">
        <f>SUM(G95:G99)</f>
        <v>234819</v>
      </c>
      <c r="H100" s="239"/>
    </row>
    <row r="101" spans="1:11" x14ac:dyDescent="0.2">
      <c r="B101" s="71"/>
      <c r="C101" s="249"/>
      <c r="D101" s="70"/>
      <c r="E101" s="71"/>
      <c r="F101" s="149"/>
      <c r="G101" s="149"/>
      <c r="H101" s="239"/>
    </row>
    <row r="102" spans="1:11" x14ac:dyDescent="0.2">
      <c r="B102" s="71"/>
      <c r="C102" s="249"/>
      <c r="D102" s="70"/>
      <c r="E102" s="71"/>
      <c r="F102" s="149"/>
      <c r="G102" s="149"/>
      <c r="H102" s="239"/>
    </row>
    <row r="103" spans="1:11" x14ac:dyDescent="0.2">
      <c r="B103" s="431" t="s">
        <v>1</v>
      </c>
      <c r="C103" s="431"/>
      <c r="D103" s="431"/>
      <c r="E103" s="431"/>
      <c r="F103" s="431"/>
      <c r="G103" s="243">
        <f>G84+G73+G68+G50+G37+G92+G100</f>
        <v>11701001</v>
      </c>
      <c r="H103" s="243"/>
    </row>
    <row r="104" spans="1:11" x14ac:dyDescent="0.2">
      <c r="B104" s="134"/>
      <c r="G104" s="250"/>
      <c r="I104" s="141"/>
    </row>
    <row r="105" spans="1:11" x14ac:dyDescent="0.2">
      <c r="B105" s="429" t="s">
        <v>400</v>
      </c>
      <c r="C105" s="429"/>
      <c r="D105" s="429"/>
      <c r="E105" s="429"/>
      <c r="F105" s="429"/>
      <c r="G105" s="429"/>
      <c r="H105" s="429"/>
    </row>
    <row r="106" spans="1:11" x14ac:dyDescent="0.2">
      <c r="B106" s="134"/>
      <c r="G106" s="250"/>
      <c r="I106" s="134"/>
      <c r="J106" s="134"/>
      <c r="K106" s="251"/>
    </row>
    <row r="109" spans="1:11" ht="18.75" x14ac:dyDescent="0.25">
      <c r="A109" s="92">
        <v>2.2999999999999998</v>
      </c>
      <c r="B109" s="427" t="s">
        <v>367</v>
      </c>
      <c r="C109" s="427"/>
      <c r="D109" s="427"/>
      <c r="E109" s="427"/>
      <c r="F109" s="427"/>
    </row>
    <row r="111" spans="1:11" ht="25.5" x14ac:dyDescent="0.2">
      <c r="B111" s="10" t="s">
        <v>145</v>
      </c>
      <c r="C111" s="16" t="s">
        <v>127</v>
      </c>
      <c r="D111" s="16" t="s">
        <v>151</v>
      </c>
      <c r="E111" s="16" t="s">
        <v>152</v>
      </c>
      <c r="F111" s="16" t="s">
        <v>157</v>
      </c>
    </row>
    <row r="112" spans="1:11" x14ac:dyDescent="0.2">
      <c r="B112" s="71">
        <v>1</v>
      </c>
      <c r="C112" s="70" t="s">
        <v>788</v>
      </c>
      <c r="D112" s="71">
        <v>6</v>
      </c>
      <c r="E112" s="148">
        <v>2500</v>
      </c>
      <c r="F112" s="149">
        <f t="shared" ref="F112:F116" si="8">D112*E112</f>
        <v>15000</v>
      </c>
    </row>
    <row r="113" spans="1:7" x14ac:dyDescent="0.2">
      <c r="B113" s="71">
        <v>2</v>
      </c>
      <c r="C113" s="70" t="s">
        <v>789</v>
      </c>
      <c r="D113" s="71">
        <v>6</v>
      </c>
      <c r="E113" s="148">
        <v>5000</v>
      </c>
      <c r="F113" s="149">
        <f t="shared" si="8"/>
        <v>30000</v>
      </c>
    </row>
    <row r="114" spans="1:7" x14ac:dyDescent="0.2">
      <c r="B114" s="71">
        <v>3</v>
      </c>
      <c r="C114" s="70" t="s">
        <v>790</v>
      </c>
      <c r="D114" s="71">
        <v>20</v>
      </c>
      <c r="E114" s="148">
        <v>600</v>
      </c>
      <c r="F114" s="149">
        <f t="shared" si="8"/>
        <v>12000</v>
      </c>
    </row>
    <row r="115" spans="1:7" x14ac:dyDescent="0.2">
      <c r="B115" s="71">
        <v>4</v>
      </c>
      <c r="C115" s="70" t="s">
        <v>791</v>
      </c>
      <c r="D115" s="71">
        <v>1</v>
      </c>
      <c r="E115" s="148">
        <v>5000</v>
      </c>
      <c r="F115" s="149">
        <f t="shared" si="8"/>
        <v>5000</v>
      </c>
    </row>
    <row r="116" spans="1:7" x14ac:dyDescent="0.2">
      <c r="B116" s="71">
        <v>5</v>
      </c>
      <c r="C116" s="70" t="s">
        <v>792</v>
      </c>
      <c r="D116" s="71">
        <v>2</v>
      </c>
      <c r="E116" s="148">
        <v>6000</v>
      </c>
      <c r="F116" s="149">
        <f t="shared" si="8"/>
        <v>12000</v>
      </c>
    </row>
    <row r="117" spans="1:7" x14ac:dyDescent="0.2">
      <c r="B117" s="71">
        <f>B116+1</f>
        <v>6</v>
      </c>
      <c r="C117" s="70" t="s">
        <v>793</v>
      </c>
      <c r="D117" s="71">
        <v>6</v>
      </c>
      <c r="E117" s="148">
        <v>9000</v>
      </c>
      <c r="F117" s="149">
        <f t="shared" ref="F117:F120" si="9">D117*E117</f>
        <v>54000</v>
      </c>
    </row>
    <row r="118" spans="1:7" x14ac:dyDescent="0.2">
      <c r="B118" s="71">
        <f t="shared" ref="B118:B120" si="10">B117+1</f>
        <v>7</v>
      </c>
      <c r="C118" s="70" t="s">
        <v>794</v>
      </c>
      <c r="D118" s="71">
        <v>10</v>
      </c>
      <c r="E118" s="148">
        <v>6000</v>
      </c>
      <c r="F118" s="149">
        <f t="shared" si="9"/>
        <v>60000</v>
      </c>
    </row>
    <row r="119" spans="1:7" x14ac:dyDescent="0.2">
      <c r="B119" s="71">
        <f t="shared" si="10"/>
        <v>8</v>
      </c>
      <c r="C119" s="70" t="s">
        <v>795</v>
      </c>
      <c r="D119" s="71">
        <v>5</v>
      </c>
      <c r="E119" s="148">
        <v>3000</v>
      </c>
      <c r="F119" s="149">
        <f t="shared" si="9"/>
        <v>15000</v>
      </c>
    </row>
    <row r="120" spans="1:7" x14ac:dyDescent="0.2">
      <c r="B120" s="71">
        <f t="shared" si="10"/>
        <v>9</v>
      </c>
      <c r="C120" s="70" t="s">
        <v>796</v>
      </c>
      <c r="D120" s="71">
        <v>2</v>
      </c>
      <c r="E120" s="148">
        <v>7500</v>
      </c>
      <c r="F120" s="149">
        <f t="shared" si="9"/>
        <v>15000</v>
      </c>
    </row>
    <row r="121" spans="1:7" x14ac:dyDescent="0.2">
      <c r="B121" s="71"/>
      <c r="C121" s="70" t="s">
        <v>748</v>
      </c>
      <c r="D121" s="71"/>
      <c r="E121" s="148"/>
      <c r="F121" s="149">
        <f>SUM(F112:F120)*18%</f>
        <v>39240</v>
      </c>
    </row>
    <row r="122" spans="1:7" x14ac:dyDescent="0.2">
      <c r="B122" s="431" t="s">
        <v>1</v>
      </c>
      <c r="C122" s="431"/>
      <c r="D122" s="431"/>
      <c r="E122" s="431"/>
      <c r="F122" s="9">
        <f>SUM(F112:F121)</f>
        <v>257240</v>
      </c>
      <c r="G122" s="92" t="s">
        <v>863</v>
      </c>
    </row>
    <row r="124" spans="1:7" x14ac:dyDescent="0.2">
      <c r="A124" s="429" t="s">
        <v>401</v>
      </c>
      <c r="B124" s="429"/>
      <c r="C124" s="429"/>
      <c r="D124" s="429"/>
      <c r="E124" s="429"/>
      <c r="F124" s="429"/>
      <c r="G124" s="429"/>
    </row>
    <row r="127" spans="1:7" ht="18.75" x14ac:dyDescent="0.25">
      <c r="A127" s="92">
        <v>2.4</v>
      </c>
      <c r="B127" s="427" t="s">
        <v>366</v>
      </c>
      <c r="C127" s="427"/>
      <c r="D127" s="427"/>
      <c r="E127" s="427"/>
      <c r="F127" s="427"/>
    </row>
    <row r="129" spans="1:9" ht="25.5" x14ac:dyDescent="0.2">
      <c r="B129" s="10" t="s">
        <v>145</v>
      </c>
      <c r="C129" s="16" t="s">
        <v>127</v>
      </c>
      <c r="D129" s="16" t="s">
        <v>151</v>
      </c>
      <c r="E129" s="16" t="s">
        <v>152</v>
      </c>
      <c r="F129" s="16" t="s">
        <v>157</v>
      </c>
    </row>
    <row r="130" spans="1:9" x14ac:dyDescent="0.2">
      <c r="B130" s="71">
        <v>1</v>
      </c>
      <c r="C130" s="70" t="s">
        <v>816</v>
      </c>
      <c r="D130" s="71">
        <v>1</v>
      </c>
      <c r="E130" s="148">
        <v>37923.730000000003</v>
      </c>
      <c r="F130" s="149">
        <f>D130*E130</f>
        <v>37923.730000000003</v>
      </c>
      <c r="I130" s="92" t="s">
        <v>863</v>
      </c>
    </row>
    <row r="131" spans="1:9" x14ac:dyDescent="0.2">
      <c r="B131" s="71">
        <v>2</v>
      </c>
      <c r="C131" s="70" t="s">
        <v>817</v>
      </c>
      <c r="D131" s="71">
        <v>1</v>
      </c>
      <c r="E131" s="148">
        <v>8898.31</v>
      </c>
      <c r="F131" s="149">
        <f t="shared" ref="F131:F137" si="11">D131*E131</f>
        <v>8898.31</v>
      </c>
      <c r="I131" s="92" t="s">
        <v>863</v>
      </c>
    </row>
    <row r="132" spans="1:9" x14ac:dyDescent="0.2">
      <c r="B132" s="71">
        <v>3</v>
      </c>
      <c r="C132" s="70" t="s">
        <v>864</v>
      </c>
      <c r="D132" s="71">
        <v>1</v>
      </c>
      <c r="E132" s="148">
        <v>17457.63</v>
      </c>
      <c r="F132" s="149">
        <f t="shared" si="11"/>
        <v>17457.63</v>
      </c>
      <c r="I132" s="92" t="s">
        <v>863</v>
      </c>
    </row>
    <row r="133" spans="1:9" ht="25.5" x14ac:dyDescent="0.2">
      <c r="B133" s="71">
        <v>3</v>
      </c>
      <c r="C133" s="70" t="s">
        <v>820</v>
      </c>
      <c r="D133" s="71">
        <v>1</v>
      </c>
      <c r="E133" s="148">
        <v>13135.59</v>
      </c>
      <c r="F133" s="149">
        <f t="shared" si="11"/>
        <v>13135.59</v>
      </c>
      <c r="I133" s="92" t="s">
        <v>863</v>
      </c>
    </row>
    <row r="134" spans="1:9" ht="25.5" x14ac:dyDescent="0.2">
      <c r="B134" s="71">
        <v>4</v>
      </c>
      <c r="C134" s="70" t="s">
        <v>818</v>
      </c>
      <c r="D134" s="71">
        <v>6</v>
      </c>
      <c r="E134" s="148">
        <v>14843.75</v>
      </c>
      <c r="F134" s="149">
        <f t="shared" si="11"/>
        <v>89062.5</v>
      </c>
      <c r="I134" s="92" t="s">
        <v>863</v>
      </c>
    </row>
    <row r="135" spans="1:9" x14ac:dyDescent="0.2">
      <c r="B135" s="71">
        <v>5</v>
      </c>
      <c r="C135" s="70" t="s">
        <v>819</v>
      </c>
      <c r="D135" s="71">
        <v>1</v>
      </c>
      <c r="E135" s="148">
        <v>1652.54</v>
      </c>
      <c r="F135" s="149">
        <f t="shared" si="11"/>
        <v>1652.54</v>
      </c>
      <c r="I135" s="92" t="s">
        <v>863</v>
      </c>
    </row>
    <row r="136" spans="1:9" x14ac:dyDescent="0.2">
      <c r="B136" s="71">
        <v>6</v>
      </c>
      <c r="C136" s="70" t="s">
        <v>821</v>
      </c>
      <c r="D136" s="71">
        <v>5</v>
      </c>
      <c r="E136" s="148">
        <v>38974.576000000001</v>
      </c>
      <c r="F136" s="149">
        <f t="shared" si="11"/>
        <v>194872.88</v>
      </c>
      <c r="I136" s="92" t="s">
        <v>863</v>
      </c>
    </row>
    <row r="137" spans="1:9" x14ac:dyDescent="0.2">
      <c r="B137" s="71"/>
      <c r="C137" s="70" t="s">
        <v>824</v>
      </c>
      <c r="D137" s="71">
        <v>1</v>
      </c>
      <c r="E137" s="148">
        <v>59394.91525423729</v>
      </c>
      <c r="F137" s="149">
        <f t="shared" si="11"/>
        <v>59394.91525423729</v>
      </c>
      <c r="I137" s="92" t="s">
        <v>863</v>
      </c>
    </row>
    <row r="138" spans="1:9" x14ac:dyDescent="0.2">
      <c r="B138" s="71">
        <v>7</v>
      </c>
      <c r="C138" s="70" t="s">
        <v>748</v>
      </c>
      <c r="D138" s="71"/>
      <c r="E138" s="148"/>
      <c r="F138" s="149">
        <f>(SUM(F130:F137)-F134)*18%</f>
        <v>60000.407145762721</v>
      </c>
      <c r="I138" s="92" t="s">
        <v>863</v>
      </c>
    </row>
    <row r="139" spans="1:9" x14ac:dyDescent="0.2">
      <c r="B139" s="71">
        <v>8</v>
      </c>
      <c r="C139" s="70" t="s">
        <v>822</v>
      </c>
      <c r="D139" s="71"/>
      <c r="E139" s="148"/>
      <c r="F139" s="149">
        <f>F134*28%</f>
        <v>24937.500000000004</v>
      </c>
      <c r="I139" s="92" t="s">
        <v>863</v>
      </c>
    </row>
    <row r="140" spans="1:9" x14ac:dyDescent="0.2">
      <c r="B140" s="71">
        <v>9</v>
      </c>
      <c r="C140" s="70" t="s">
        <v>842</v>
      </c>
      <c r="D140" s="71">
        <v>1</v>
      </c>
      <c r="E140" s="148">
        <v>15010</v>
      </c>
      <c r="F140" s="149">
        <f>E140</f>
        <v>15010</v>
      </c>
      <c r="I140" s="92" t="s">
        <v>863</v>
      </c>
    </row>
    <row r="141" spans="1:9" x14ac:dyDescent="0.2">
      <c r="B141" s="431" t="s">
        <v>1</v>
      </c>
      <c r="C141" s="431"/>
      <c r="D141" s="431"/>
      <c r="E141" s="431"/>
      <c r="F141" s="9">
        <f>SUM(F130:F140)</f>
        <v>522346.00240000006</v>
      </c>
    </row>
    <row r="143" spans="1:9" x14ac:dyDescent="0.2">
      <c r="A143" s="429" t="s">
        <v>401</v>
      </c>
      <c r="B143" s="429"/>
      <c r="C143" s="429"/>
      <c r="D143" s="429"/>
      <c r="E143" s="429"/>
      <c r="F143" s="429"/>
      <c r="G143" s="429"/>
    </row>
    <row r="146" spans="1:7" ht="18.75" x14ac:dyDescent="0.25">
      <c r="A146" s="92">
        <v>2.5</v>
      </c>
      <c r="B146" s="427" t="s">
        <v>273</v>
      </c>
      <c r="C146" s="427"/>
      <c r="D146" s="427"/>
      <c r="E146" s="427"/>
      <c r="F146" s="427"/>
    </row>
    <row r="148" spans="1:7" ht="25.5" x14ac:dyDescent="0.2">
      <c r="B148" s="10" t="s">
        <v>145</v>
      </c>
      <c r="C148" s="16" t="s">
        <v>127</v>
      </c>
      <c r="D148" s="16" t="s">
        <v>151</v>
      </c>
      <c r="E148" s="16" t="s">
        <v>152</v>
      </c>
      <c r="F148" s="16" t="s">
        <v>157</v>
      </c>
    </row>
    <row r="149" spans="1:7" x14ac:dyDescent="0.2">
      <c r="B149" s="71">
        <v>1</v>
      </c>
      <c r="C149" s="70"/>
      <c r="D149" s="71"/>
      <c r="E149" s="148"/>
      <c r="F149" s="149"/>
      <c r="G149" s="92" t="s">
        <v>863</v>
      </c>
    </row>
    <row r="150" spans="1:7" x14ac:dyDescent="0.2">
      <c r="B150" s="71">
        <v>2</v>
      </c>
      <c r="C150" s="70"/>
      <c r="D150" s="71"/>
      <c r="E150" s="148"/>
      <c r="F150" s="149"/>
      <c r="G150" s="92" t="s">
        <v>863</v>
      </c>
    </row>
    <row r="151" spans="1:7" x14ac:dyDescent="0.2">
      <c r="B151" s="71">
        <f>B150+1</f>
        <v>3</v>
      </c>
      <c r="C151" s="70"/>
      <c r="D151" s="71"/>
      <c r="E151" s="148"/>
      <c r="F151" s="149"/>
    </row>
    <row r="152" spans="1:7" x14ac:dyDescent="0.2">
      <c r="B152" s="71">
        <v>4</v>
      </c>
      <c r="C152" s="70"/>
      <c r="D152" s="71"/>
      <c r="E152" s="148"/>
      <c r="F152" s="149"/>
    </row>
    <row r="153" spans="1:7" x14ac:dyDescent="0.2">
      <c r="B153" s="71">
        <v>5</v>
      </c>
      <c r="C153" s="70"/>
      <c r="D153" s="71"/>
      <c r="E153" s="148"/>
      <c r="F153" s="149"/>
    </row>
    <row r="154" spans="1:7" x14ac:dyDescent="0.2">
      <c r="B154" s="71">
        <v>6</v>
      </c>
      <c r="C154" s="70"/>
      <c r="D154" s="71"/>
      <c r="E154" s="148"/>
      <c r="F154" s="149"/>
    </row>
    <row r="155" spans="1:7" x14ac:dyDescent="0.2">
      <c r="B155" s="71">
        <v>7</v>
      </c>
      <c r="C155" s="70"/>
      <c r="D155" s="71"/>
      <c r="E155" s="148"/>
      <c r="F155" s="149"/>
    </row>
    <row r="156" spans="1:7" x14ac:dyDescent="0.2">
      <c r="B156" s="71"/>
      <c r="C156" s="70"/>
      <c r="D156" s="71"/>
      <c r="E156" s="148"/>
      <c r="F156" s="149"/>
    </row>
    <row r="157" spans="1:7" x14ac:dyDescent="0.2">
      <c r="B157" s="431" t="s">
        <v>1</v>
      </c>
      <c r="C157" s="431"/>
      <c r="D157" s="431"/>
      <c r="E157" s="431"/>
      <c r="F157" s="9">
        <f>SUM(F149:F156)</f>
        <v>0</v>
      </c>
    </row>
    <row r="158" spans="1:7" x14ac:dyDescent="0.2">
      <c r="A158" s="433" t="s">
        <v>435</v>
      </c>
      <c r="B158" s="433"/>
      <c r="C158" s="433"/>
      <c r="D158" s="433"/>
      <c r="E158" s="433"/>
      <c r="F158" s="433"/>
      <c r="G158" s="433"/>
    </row>
    <row r="161" spans="1:5" ht="18.75" x14ac:dyDescent="0.25">
      <c r="A161" s="92">
        <v>2.6</v>
      </c>
      <c r="B161" s="427" t="s">
        <v>251</v>
      </c>
      <c r="C161" s="427"/>
      <c r="D161" s="427"/>
    </row>
    <row r="163" spans="1:5" ht="25.5" x14ac:dyDescent="0.2">
      <c r="B163" s="10" t="s">
        <v>145</v>
      </c>
      <c r="C163" s="16" t="s">
        <v>127</v>
      </c>
      <c r="D163" s="16" t="s">
        <v>365</v>
      </c>
    </row>
    <row r="164" spans="1:5" x14ac:dyDescent="0.2">
      <c r="B164" s="252">
        <v>1</v>
      </c>
      <c r="C164" s="70" t="s">
        <v>715</v>
      </c>
      <c r="D164" s="149">
        <v>25000</v>
      </c>
      <c r="E164" s="92" t="s">
        <v>863</v>
      </c>
    </row>
    <row r="165" spans="1:5" x14ac:dyDescent="0.2">
      <c r="B165" s="252">
        <v>2</v>
      </c>
      <c r="C165" s="70" t="s">
        <v>714</v>
      </c>
      <c r="D165" s="149">
        <v>75000</v>
      </c>
      <c r="E165" s="92" t="s">
        <v>863</v>
      </c>
    </row>
    <row r="166" spans="1:5" x14ac:dyDescent="0.2">
      <c r="B166" s="252">
        <v>3</v>
      </c>
      <c r="C166" s="70" t="s">
        <v>746</v>
      </c>
      <c r="D166" s="149">
        <v>76550</v>
      </c>
      <c r="E166" s="92" t="s">
        <v>863</v>
      </c>
    </row>
    <row r="167" spans="1:5" x14ac:dyDescent="0.2">
      <c r="B167" s="252">
        <v>4</v>
      </c>
      <c r="C167" s="70" t="s">
        <v>845</v>
      </c>
      <c r="D167" s="149">
        <v>15000</v>
      </c>
      <c r="E167" s="92" t="s">
        <v>863</v>
      </c>
    </row>
    <row r="168" spans="1:5" x14ac:dyDescent="0.2">
      <c r="B168" s="252">
        <v>5</v>
      </c>
      <c r="C168" s="70" t="s">
        <v>846</v>
      </c>
      <c r="D168" s="149">
        <f>63000+83000</f>
        <v>146000</v>
      </c>
      <c r="E168" s="92" t="s">
        <v>863</v>
      </c>
    </row>
    <row r="169" spans="1:5" x14ac:dyDescent="0.2">
      <c r="B169" s="252">
        <v>6</v>
      </c>
      <c r="C169" s="70" t="s">
        <v>847</v>
      </c>
      <c r="D169" s="149">
        <v>74000</v>
      </c>
      <c r="E169" s="92" t="s">
        <v>863</v>
      </c>
    </row>
    <row r="170" spans="1:5" x14ac:dyDescent="0.2">
      <c r="B170" s="431" t="s">
        <v>1</v>
      </c>
      <c r="C170" s="431"/>
      <c r="D170" s="243">
        <f>SUM(D164:D169)</f>
        <v>411550</v>
      </c>
    </row>
    <row r="172" spans="1:5" ht="43.5" customHeight="1" x14ac:dyDescent="0.2">
      <c r="A172" s="432" t="s">
        <v>677</v>
      </c>
      <c r="B172" s="432"/>
      <c r="C172" s="432"/>
      <c r="D172" s="432"/>
      <c r="E172" s="432"/>
    </row>
  </sheetData>
  <mergeCells count="25">
    <mergeCell ref="B13:F13"/>
    <mergeCell ref="B2:G2"/>
    <mergeCell ref="B16:G16"/>
    <mergeCell ref="B105:H105"/>
    <mergeCell ref="B103:F103"/>
    <mergeCell ref="B18:H18"/>
    <mergeCell ref="B37:C37"/>
    <mergeCell ref="B68:C68"/>
    <mergeCell ref="B50:C50"/>
    <mergeCell ref="B84:C84"/>
    <mergeCell ref="B92:C92"/>
    <mergeCell ref="B100:C100"/>
    <mergeCell ref="B170:C170"/>
    <mergeCell ref="A172:E172"/>
    <mergeCell ref="B73:C73"/>
    <mergeCell ref="A143:G143"/>
    <mergeCell ref="B157:E157"/>
    <mergeCell ref="B146:F146"/>
    <mergeCell ref="A158:G158"/>
    <mergeCell ref="B161:D161"/>
    <mergeCell ref="B122:E122"/>
    <mergeCell ref="B109:F109"/>
    <mergeCell ref="A124:G124"/>
    <mergeCell ref="B141:E141"/>
    <mergeCell ref="B127:F127"/>
  </mergeCells>
  <hyperlinks>
    <hyperlink ref="C91" r:id="rId1" xr:uid="{00000000-0004-0000-0200-000000000000}"/>
  </hyperlinks>
  <pageMargins left="0.7" right="0.7" top="0.75" bottom="0.75" header="0.3" footer="0.3"/>
  <pageSetup scale="75"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Q105"/>
  <sheetViews>
    <sheetView view="pageBreakPreview" topLeftCell="A9" zoomScale="115" zoomScaleSheetLayoutView="115" workbookViewId="0">
      <selection activeCell="A15" sqref="A15"/>
    </sheetView>
  </sheetViews>
  <sheetFormatPr defaultColWidth="8.7421875" defaultRowHeight="15" x14ac:dyDescent="0.2"/>
  <cols>
    <col min="1" max="1" width="25.828125" style="92" bestFit="1" customWidth="1"/>
    <col min="2" max="2" width="14.52734375" style="92" bestFit="1" customWidth="1"/>
    <col min="3" max="9" width="11.8359375" style="92" bestFit="1" customWidth="1"/>
    <col min="10" max="10" width="14.66015625" style="92" bestFit="1" customWidth="1"/>
    <col min="11" max="17" width="11.8359375" style="92" bestFit="1" customWidth="1"/>
    <col min="18" max="16384" width="8.7421875" style="92"/>
  </cols>
  <sheetData>
    <row r="2" spans="1:11" ht="18.75" x14ac:dyDescent="0.25">
      <c r="A2" s="427" t="s">
        <v>684</v>
      </c>
      <c r="B2" s="427"/>
      <c r="C2" s="427"/>
      <c r="D2" s="427"/>
      <c r="E2" s="427"/>
      <c r="F2" s="427"/>
      <c r="G2" s="427"/>
      <c r="H2" s="427"/>
      <c r="I2" s="427"/>
      <c r="J2" s="427"/>
      <c r="K2" s="427"/>
    </row>
    <row r="4" spans="1:11" x14ac:dyDescent="0.2">
      <c r="E4" s="138">
        <v>1</v>
      </c>
      <c r="F4" s="150">
        <f>(E4*5%)+E4</f>
        <v>1.05</v>
      </c>
      <c r="G4" s="150">
        <f t="shared" ref="G4:K4" si="0">(F4*5%)+F4</f>
        <v>1.1025</v>
      </c>
      <c r="H4" s="150">
        <f t="shared" si="0"/>
        <v>1.1576250000000001</v>
      </c>
      <c r="I4" s="150">
        <f t="shared" si="0"/>
        <v>1.2155062500000002</v>
      </c>
      <c r="J4" s="150">
        <f t="shared" si="0"/>
        <v>1.2762815625000004</v>
      </c>
      <c r="K4" s="150">
        <f t="shared" si="0"/>
        <v>1.3400956406250004</v>
      </c>
    </row>
    <row r="6" spans="1:11" x14ac:dyDescent="0.2">
      <c r="A6" s="126" t="s">
        <v>0</v>
      </c>
      <c r="B6" s="126" t="s">
        <v>132</v>
      </c>
      <c r="C6" s="126" t="s">
        <v>376</v>
      </c>
      <c r="D6" s="126" t="s">
        <v>285</v>
      </c>
      <c r="E6" s="127" t="s">
        <v>2</v>
      </c>
      <c r="F6" s="127" t="s">
        <v>3</v>
      </c>
      <c r="G6" s="127" t="s">
        <v>4</v>
      </c>
      <c r="H6" s="127" t="s">
        <v>5</v>
      </c>
      <c r="I6" s="127" t="s">
        <v>6</v>
      </c>
      <c r="J6" s="127" t="s">
        <v>168</v>
      </c>
      <c r="K6" s="127" t="s">
        <v>167</v>
      </c>
    </row>
    <row r="7" spans="1:11" x14ac:dyDescent="0.2">
      <c r="A7" s="93"/>
      <c r="B7" s="93"/>
      <c r="C7" s="93"/>
      <c r="D7" s="93"/>
      <c r="E7" s="93"/>
      <c r="F7" s="93"/>
      <c r="G7" s="93"/>
      <c r="H7" s="93"/>
      <c r="I7" s="93"/>
      <c r="J7" s="93"/>
      <c r="K7" s="93"/>
    </row>
    <row r="8" spans="1:11" x14ac:dyDescent="0.2">
      <c r="A8" s="93" t="s">
        <v>320</v>
      </c>
      <c r="B8" s="93" t="s">
        <v>377</v>
      </c>
      <c r="C8" s="93">
        <v>1</v>
      </c>
      <c r="D8" s="144">
        <v>30000</v>
      </c>
      <c r="E8" s="95">
        <f>$C8*$D8*12*E$4</f>
        <v>360000</v>
      </c>
      <c r="F8" s="95">
        <f t="shared" ref="F8:K8" si="1">$C8*$D8*12*F$4</f>
        <v>378000</v>
      </c>
      <c r="G8" s="95">
        <f t="shared" si="1"/>
        <v>396900</v>
      </c>
      <c r="H8" s="95">
        <f t="shared" si="1"/>
        <v>416745.00000000006</v>
      </c>
      <c r="I8" s="95">
        <f t="shared" si="1"/>
        <v>437582.25000000006</v>
      </c>
      <c r="J8" s="95">
        <f t="shared" si="1"/>
        <v>459461.3625000001</v>
      </c>
      <c r="K8" s="95">
        <f t="shared" si="1"/>
        <v>482434.43062500015</v>
      </c>
    </row>
    <row r="9" spans="1:11" x14ac:dyDescent="0.2">
      <c r="A9" s="93" t="s">
        <v>186</v>
      </c>
      <c r="B9" s="93" t="s">
        <v>377</v>
      </c>
      <c r="C9" s="93">
        <v>1</v>
      </c>
      <c r="D9" s="144">
        <v>20000</v>
      </c>
      <c r="E9" s="95">
        <f>$C9*$D9*12*E$4</f>
        <v>240000</v>
      </c>
      <c r="F9" s="95">
        <f t="shared" ref="F9:K11" si="2">$C9*$D9*12*F$4</f>
        <v>252000</v>
      </c>
      <c r="G9" s="95">
        <f t="shared" si="2"/>
        <v>264600</v>
      </c>
      <c r="H9" s="95">
        <f t="shared" si="2"/>
        <v>277830.00000000006</v>
      </c>
      <c r="I9" s="95">
        <f t="shared" si="2"/>
        <v>291721.50000000006</v>
      </c>
      <c r="J9" s="95">
        <f t="shared" si="2"/>
        <v>306307.57500000007</v>
      </c>
      <c r="K9" s="95">
        <f t="shared" si="2"/>
        <v>321622.9537500001</v>
      </c>
    </row>
    <row r="10" spans="1:11" x14ac:dyDescent="0.2">
      <c r="A10" s="93" t="s">
        <v>787</v>
      </c>
      <c r="B10" s="93" t="s">
        <v>377</v>
      </c>
      <c r="C10" s="93">
        <v>1</v>
      </c>
      <c r="D10" s="144">
        <v>25000</v>
      </c>
      <c r="E10" s="95">
        <f>$C10*$D10*12*E$4</f>
        <v>300000</v>
      </c>
      <c r="F10" s="95">
        <f t="shared" si="2"/>
        <v>315000</v>
      </c>
      <c r="G10" s="95">
        <f t="shared" si="2"/>
        <v>330750</v>
      </c>
      <c r="H10" s="95">
        <f t="shared" si="2"/>
        <v>347287.50000000006</v>
      </c>
      <c r="I10" s="95">
        <f t="shared" si="2"/>
        <v>364651.87500000006</v>
      </c>
      <c r="J10" s="95">
        <f t="shared" si="2"/>
        <v>382884.46875000012</v>
      </c>
      <c r="K10" s="95">
        <f t="shared" si="2"/>
        <v>402028.69218750013</v>
      </c>
    </row>
    <row r="11" spans="1:11" x14ac:dyDescent="0.2">
      <c r="A11" s="93" t="s">
        <v>191</v>
      </c>
      <c r="B11" s="93" t="s">
        <v>377</v>
      </c>
      <c r="C11" s="93">
        <v>2</v>
      </c>
      <c r="D11" s="144">
        <v>8000</v>
      </c>
      <c r="E11" s="95">
        <f>$C11*$D11*12*E$4</f>
        <v>192000</v>
      </c>
      <c r="F11" s="95">
        <f t="shared" si="2"/>
        <v>201600</v>
      </c>
      <c r="G11" s="95">
        <f t="shared" si="2"/>
        <v>211680</v>
      </c>
      <c r="H11" s="95">
        <f t="shared" si="2"/>
        <v>222264.00000000003</v>
      </c>
      <c r="I11" s="95">
        <f t="shared" si="2"/>
        <v>233377.20000000004</v>
      </c>
      <c r="J11" s="95">
        <f t="shared" si="2"/>
        <v>245046.06000000006</v>
      </c>
      <c r="K11" s="95">
        <f t="shared" si="2"/>
        <v>257298.36300000007</v>
      </c>
    </row>
    <row r="12" spans="1:11" x14ac:dyDescent="0.2">
      <c r="A12" s="93" t="s">
        <v>130</v>
      </c>
      <c r="B12" s="93" t="s">
        <v>378</v>
      </c>
      <c r="C12" s="93">
        <v>12</v>
      </c>
      <c r="D12" s="144">
        <v>2000</v>
      </c>
      <c r="E12" s="95">
        <f>$C12*$D12*E$4</f>
        <v>24000</v>
      </c>
      <c r="F12" s="95">
        <f t="shared" ref="F12:K16" si="3">$C12*$D12*F$4</f>
        <v>25200</v>
      </c>
      <c r="G12" s="95">
        <f t="shared" si="3"/>
        <v>26460</v>
      </c>
      <c r="H12" s="95">
        <f t="shared" si="3"/>
        <v>27783.000000000004</v>
      </c>
      <c r="I12" s="95">
        <f t="shared" si="3"/>
        <v>29172.150000000005</v>
      </c>
      <c r="J12" s="95">
        <f t="shared" si="3"/>
        <v>30630.757500000007</v>
      </c>
      <c r="K12" s="95">
        <f t="shared" si="3"/>
        <v>32162.295375000009</v>
      </c>
    </row>
    <row r="13" spans="1:11" x14ac:dyDescent="0.2">
      <c r="A13" s="93" t="s">
        <v>10</v>
      </c>
      <c r="B13" s="93" t="s">
        <v>378</v>
      </c>
      <c r="C13" s="93">
        <v>12</v>
      </c>
      <c r="D13" s="144">
        <v>5000</v>
      </c>
      <c r="E13" s="95">
        <f t="shared" ref="E13:E16" si="4">$C13*$D13*E$4</f>
        <v>60000</v>
      </c>
      <c r="F13" s="95">
        <f t="shared" si="3"/>
        <v>63000</v>
      </c>
      <c r="G13" s="95">
        <f t="shared" si="3"/>
        <v>66150</v>
      </c>
      <c r="H13" s="95">
        <f t="shared" si="3"/>
        <v>69457.500000000015</v>
      </c>
      <c r="I13" s="95">
        <f t="shared" si="3"/>
        <v>72930.375000000015</v>
      </c>
      <c r="J13" s="95">
        <f t="shared" si="3"/>
        <v>76576.893750000017</v>
      </c>
      <c r="K13" s="95">
        <f t="shared" si="3"/>
        <v>80405.738437500026</v>
      </c>
    </row>
    <row r="14" spans="1:11" x14ac:dyDescent="0.2">
      <c r="A14" s="93" t="s">
        <v>187</v>
      </c>
      <c r="B14" s="93" t="s">
        <v>378</v>
      </c>
      <c r="C14" s="93">
        <v>12</v>
      </c>
      <c r="D14" s="144">
        <v>10000</v>
      </c>
      <c r="E14" s="95">
        <f t="shared" si="4"/>
        <v>120000</v>
      </c>
      <c r="F14" s="95">
        <f t="shared" si="3"/>
        <v>126000</v>
      </c>
      <c r="G14" s="95">
        <f t="shared" si="3"/>
        <v>132300</v>
      </c>
      <c r="H14" s="95">
        <f t="shared" si="3"/>
        <v>138915.00000000003</v>
      </c>
      <c r="I14" s="95">
        <f t="shared" si="3"/>
        <v>145860.75000000003</v>
      </c>
      <c r="J14" s="95">
        <f t="shared" si="3"/>
        <v>153153.78750000003</v>
      </c>
      <c r="K14" s="95">
        <f t="shared" si="3"/>
        <v>160811.47687500005</v>
      </c>
    </row>
    <row r="15" spans="1:11" x14ac:dyDescent="0.2">
      <c r="A15" s="93" t="s">
        <v>159</v>
      </c>
      <c r="B15" s="93" t="s">
        <v>378</v>
      </c>
      <c r="C15" s="93">
        <v>12</v>
      </c>
      <c r="D15" s="144">
        <v>15000</v>
      </c>
      <c r="E15" s="144">
        <f t="shared" si="4"/>
        <v>180000</v>
      </c>
      <c r="F15" s="144">
        <f t="shared" si="3"/>
        <v>189000</v>
      </c>
      <c r="G15" s="144">
        <f t="shared" si="3"/>
        <v>198450</v>
      </c>
      <c r="H15" s="144">
        <f t="shared" si="3"/>
        <v>208372.50000000003</v>
      </c>
      <c r="I15" s="144">
        <f t="shared" si="3"/>
        <v>218791.12500000003</v>
      </c>
      <c r="J15" s="144">
        <f t="shared" si="3"/>
        <v>229730.68125000005</v>
      </c>
      <c r="K15" s="144">
        <f t="shared" si="3"/>
        <v>241217.21531250008</v>
      </c>
    </row>
    <row r="16" spans="1:11" x14ac:dyDescent="0.2">
      <c r="A16" s="93" t="s">
        <v>188</v>
      </c>
      <c r="B16" s="93" t="s">
        <v>378</v>
      </c>
      <c r="C16" s="93">
        <v>12</v>
      </c>
      <c r="D16" s="144">
        <v>10000</v>
      </c>
      <c r="E16" s="95">
        <f t="shared" si="4"/>
        <v>120000</v>
      </c>
      <c r="F16" s="95">
        <f t="shared" si="3"/>
        <v>126000</v>
      </c>
      <c r="G16" s="95">
        <f t="shared" si="3"/>
        <v>132300</v>
      </c>
      <c r="H16" s="95">
        <f t="shared" si="3"/>
        <v>138915.00000000003</v>
      </c>
      <c r="I16" s="95">
        <f t="shared" si="3"/>
        <v>145860.75000000003</v>
      </c>
      <c r="J16" s="95">
        <f t="shared" si="3"/>
        <v>153153.78750000003</v>
      </c>
      <c r="K16" s="95">
        <f t="shared" si="3"/>
        <v>160811.47687500005</v>
      </c>
    </row>
    <row r="17" spans="1:17" x14ac:dyDescent="0.2">
      <c r="A17" s="93" t="s">
        <v>189</v>
      </c>
      <c r="B17" s="93" t="s">
        <v>379</v>
      </c>
      <c r="C17" s="93">
        <v>1</v>
      </c>
      <c r="D17" s="144">
        <v>100000</v>
      </c>
      <c r="E17" s="95">
        <f>$D17*E$4*$C17</f>
        <v>100000</v>
      </c>
      <c r="F17" s="95">
        <f t="shared" ref="F17:K23" si="5">$D17*F$4*$C17</f>
        <v>105000</v>
      </c>
      <c r="G17" s="95">
        <f t="shared" si="5"/>
        <v>110250</v>
      </c>
      <c r="H17" s="95">
        <f t="shared" si="5"/>
        <v>115762.50000000001</v>
      </c>
      <c r="I17" s="95">
        <f t="shared" si="5"/>
        <v>121550.62500000003</v>
      </c>
      <c r="J17" s="95">
        <f t="shared" si="5"/>
        <v>127628.15625000003</v>
      </c>
      <c r="K17" s="95">
        <f t="shared" si="5"/>
        <v>134009.56406250005</v>
      </c>
    </row>
    <row r="18" spans="1:17" x14ac:dyDescent="0.2">
      <c r="A18" s="93"/>
      <c r="B18" s="93"/>
      <c r="C18" s="93"/>
      <c r="D18" s="144"/>
      <c r="E18" s="95">
        <f t="shared" ref="E18:E23" si="6">$D18*E$4*$C18</f>
        <v>0</v>
      </c>
      <c r="F18" s="95">
        <f t="shared" si="5"/>
        <v>0</v>
      </c>
      <c r="G18" s="95">
        <f t="shared" si="5"/>
        <v>0</v>
      </c>
      <c r="H18" s="95">
        <f t="shared" si="5"/>
        <v>0</v>
      </c>
      <c r="I18" s="95">
        <f t="shared" si="5"/>
        <v>0</v>
      </c>
      <c r="J18" s="95">
        <f t="shared" si="5"/>
        <v>0</v>
      </c>
      <c r="K18" s="95">
        <f t="shared" si="5"/>
        <v>0</v>
      </c>
    </row>
    <row r="19" spans="1:17" x14ac:dyDescent="0.2">
      <c r="A19" s="93"/>
      <c r="B19" s="93"/>
      <c r="C19" s="93"/>
      <c r="D19" s="144"/>
      <c r="E19" s="95">
        <f t="shared" si="6"/>
        <v>0</v>
      </c>
      <c r="F19" s="95">
        <f t="shared" si="5"/>
        <v>0</v>
      </c>
      <c r="G19" s="95">
        <f t="shared" si="5"/>
        <v>0</v>
      </c>
      <c r="H19" s="95">
        <f t="shared" si="5"/>
        <v>0</v>
      </c>
      <c r="I19" s="95">
        <f t="shared" si="5"/>
        <v>0</v>
      </c>
      <c r="J19" s="95">
        <f t="shared" si="5"/>
        <v>0</v>
      </c>
      <c r="K19" s="95">
        <f t="shared" si="5"/>
        <v>0</v>
      </c>
    </row>
    <row r="20" spans="1:17" x14ac:dyDescent="0.2">
      <c r="A20" s="93"/>
      <c r="B20" s="93"/>
      <c r="C20" s="93"/>
      <c r="D20" s="144"/>
      <c r="E20" s="95">
        <f t="shared" si="6"/>
        <v>0</v>
      </c>
      <c r="F20" s="95">
        <f t="shared" si="5"/>
        <v>0</v>
      </c>
      <c r="G20" s="95">
        <f t="shared" si="5"/>
        <v>0</v>
      </c>
      <c r="H20" s="95">
        <f t="shared" si="5"/>
        <v>0</v>
      </c>
      <c r="I20" s="95">
        <f t="shared" si="5"/>
        <v>0</v>
      </c>
      <c r="J20" s="95">
        <f t="shared" si="5"/>
        <v>0</v>
      </c>
      <c r="K20" s="95">
        <f t="shared" si="5"/>
        <v>0</v>
      </c>
    </row>
    <row r="21" spans="1:17" x14ac:dyDescent="0.2">
      <c r="A21" s="93"/>
      <c r="B21" s="93"/>
      <c r="C21" s="93"/>
      <c r="D21" s="144"/>
      <c r="E21" s="95">
        <f t="shared" si="6"/>
        <v>0</v>
      </c>
      <c r="F21" s="95">
        <f t="shared" si="5"/>
        <v>0</v>
      </c>
      <c r="G21" s="95">
        <f t="shared" si="5"/>
        <v>0</v>
      </c>
      <c r="H21" s="95">
        <f t="shared" si="5"/>
        <v>0</v>
      </c>
      <c r="I21" s="95">
        <f t="shared" si="5"/>
        <v>0</v>
      </c>
      <c r="J21" s="95">
        <f t="shared" si="5"/>
        <v>0</v>
      </c>
      <c r="K21" s="95">
        <f t="shared" si="5"/>
        <v>0</v>
      </c>
    </row>
    <row r="22" spans="1:17" x14ac:dyDescent="0.2">
      <c r="A22" s="93"/>
      <c r="B22" s="93"/>
      <c r="C22" s="93"/>
      <c r="D22" s="144"/>
      <c r="E22" s="95">
        <f t="shared" si="6"/>
        <v>0</v>
      </c>
      <c r="F22" s="95">
        <f t="shared" si="5"/>
        <v>0</v>
      </c>
      <c r="G22" s="95">
        <f t="shared" si="5"/>
        <v>0</v>
      </c>
      <c r="H22" s="95">
        <f t="shared" si="5"/>
        <v>0</v>
      </c>
      <c r="I22" s="95">
        <f t="shared" si="5"/>
        <v>0</v>
      </c>
      <c r="J22" s="95">
        <f t="shared" si="5"/>
        <v>0</v>
      </c>
      <c r="K22" s="95">
        <f t="shared" si="5"/>
        <v>0</v>
      </c>
    </row>
    <row r="23" spans="1:17" x14ac:dyDescent="0.2">
      <c r="A23" s="93"/>
      <c r="B23" s="93"/>
      <c r="C23" s="93"/>
      <c r="D23" s="144"/>
      <c r="E23" s="95">
        <f t="shared" si="6"/>
        <v>0</v>
      </c>
      <c r="F23" s="95">
        <f t="shared" si="5"/>
        <v>0</v>
      </c>
      <c r="G23" s="95">
        <f t="shared" si="5"/>
        <v>0</v>
      </c>
      <c r="H23" s="95">
        <f t="shared" si="5"/>
        <v>0</v>
      </c>
      <c r="I23" s="95">
        <f t="shared" si="5"/>
        <v>0</v>
      </c>
      <c r="J23" s="95">
        <f t="shared" si="5"/>
        <v>0</v>
      </c>
      <c r="K23" s="95">
        <f t="shared" si="5"/>
        <v>0</v>
      </c>
    </row>
    <row r="24" spans="1:17" x14ac:dyDescent="0.2">
      <c r="A24" s="98" t="s">
        <v>131</v>
      </c>
      <c r="B24" s="98"/>
      <c r="C24" s="98"/>
      <c r="D24" s="142"/>
      <c r="E24" s="104">
        <f t="shared" ref="E24:K24" si="7">SUM(E8:E23)</f>
        <v>1696000</v>
      </c>
      <c r="F24" s="104">
        <f t="shared" si="7"/>
        <v>1780800</v>
      </c>
      <c r="G24" s="104">
        <f t="shared" si="7"/>
        <v>1869840</v>
      </c>
      <c r="H24" s="104">
        <f t="shared" si="7"/>
        <v>1963332.0000000002</v>
      </c>
      <c r="I24" s="104">
        <f t="shared" si="7"/>
        <v>2061498.6</v>
      </c>
      <c r="J24" s="104">
        <f t="shared" si="7"/>
        <v>2164573.5300000012</v>
      </c>
      <c r="K24" s="104">
        <f t="shared" si="7"/>
        <v>2272802.2065000008</v>
      </c>
    </row>
    <row r="26" spans="1:17" x14ac:dyDescent="0.2">
      <c r="A26" s="151" t="s">
        <v>701</v>
      </c>
    </row>
    <row r="29" spans="1:17" x14ac:dyDescent="0.2">
      <c r="A29" s="438"/>
      <c r="B29" s="438"/>
      <c r="C29" s="438"/>
      <c r="D29" s="438"/>
      <c r="E29" s="438"/>
      <c r="F29" s="438"/>
      <c r="G29" s="438"/>
      <c r="H29" s="438"/>
      <c r="I29" s="438"/>
      <c r="J29" s="438"/>
      <c r="K29" s="438"/>
      <c r="L29" s="438"/>
      <c r="M29" s="438"/>
      <c r="N29" s="438"/>
      <c r="O29" s="438"/>
    </row>
    <row r="30" spans="1:17" ht="18.75" x14ac:dyDescent="0.25">
      <c r="A30" s="436" t="s">
        <v>547</v>
      </c>
      <c r="B30" s="436"/>
      <c r="C30" s="436"/>
      <c r="D30" s="436"/>
      <c r="E30" s="436"/>
      <c r="F30" s="436"/>
      <c r="G30" s="436"/>
      <c r="H30" s="436"/>
      <c r="I30" s="436"/>
      <c r="J30" s="436"/>
      <c r="K30" s="436"/>
      <c r="L30" s="436"/>
      <c r="M30" s="436"/>
      <c r="N30" s="436"/>
      <c r="O30" s="436"/>
      <c r="P30" s="436"/>
      <c r="Q30" s="436"/>
    </row>
    <row r="31" spans="1:17" x14ac:dyDescent="0.2">
      <c r="A31" s="152"/>
      <c r="B31" s="152"/>
      <c r="C31" s="152"/>
      <c r="D31" s="152"/>
      <c r="E31" s="152"/>
      <c r="F31" s="152"/>
      <c r="G31" s="152"/>
      <c r="H31" s="152"/>
      <c r="I31" s="152"/>
      <c r="J31" s="152"/>
      <c r="K31" s="152"/>
      <c r="L31" s="152"/>
      <c r="M31" s="152"/>
      <c r="N31" s="152"/>
      <c r="O31" s="152"/>
    </row>
    <row r="32" spans="1:17" x14ac:dyDescent="0.2">
      <c r="C32" s="439" t="s">
        <v>192</v>
      </c>
      <c r="D32" s="439"/>
      <c r="E32" s="439"/>
      <c r="F32" s="439"/>
      <c r="G32" s="439"/>
      <c r="H32" s="439"/>
      <c r="I32" s="439"/>
      <c r="K32" s="439" t="s">
        <v>193</v>
      </c>
      <c r="L32" s="439"/>
      <c r="M32" s="439"/>
      <c r="N32" s="439"/>
      <c r="O32" s="439"/>
      <c r="P32" s="439"/>
      <c r="Q32" s="439"/>
    </row>
    <row r="33" spans="1:17" x14ac:dyDescent="0.2">
      <c r="A33" s="153" t="s">
        <v>0</v>
      </c>
      <c r="B33" s="154"/>
      <c r="C33" s="155" t="s">
        <v>2</v>
      </c>
      <c r="D33" s="155" t="s">
        <v>3</v>
      </c>
      <c r="E33" s="155" t="s">
        <v>4</v>
      </c>
      <c r="F33" s="155" t="s">
        <v>5</v>
      </c>
      <c r="G33" s="155" t="s">
        <v>6</v>
      </c>
      <c r="H33" s="155" t="s">
        <v>168</v>
      </c>
      <c r="I33" s="155" t="s">
        <v>167</v>
      </c>
      <c r="J33" s="156"/>
      <c r="K33" s="155" t="s">
        <v>2</v>
      </c>
      <c r="L33" s="155" t="s">
        <v>3</v>
      </c>
      <c r="M33" s="155" t="s">
        <v>4</v>
      </c>
      <c r="N33" s="155" t="s">
        <v>5</v>
      </c>
      <c r="O33" s="155" t="s">
        <v>6</v>
      </c>
      <c r="P33" s="155" t="s">
        <v>168</v>
      </c>
      <c r="Q33" s="155" t="s">
        <v>167</v>
      </c>
    </row>
    <row r="34" spans="1:17" x14ac:dyDescent="0.2">
      <c r="A34" s="157" t="s">
        <v>194</v>
      </c>
      <c r="B34" s="93"/>
      <c r="C34" s="93"/>
      <c r="D34" s="93"/>
      <c r="E34" s="93"/>
      <c r="F34" s="93"/>
      <c r="G34" s="158"/>
      <c r="H34" s="158"/>
      <c r="I34" s="158"/>
      <c r="J34" s="93"/>
      <c r="K34" s="93"/>
      <c r="L34" s="93"/>
      <c r="M34" s="93"/>
      <c r="N34" s="93"/>
      <c r="O34" s="158"/>
      <c r="P34" s="158"/>
      <c r="Q34" s="158"/>
    </row>
    <row r="35" spans="1:17" x14ac:dyDescent="0.2">
      <c r="A35" s="157"/>
      <c r="B35" s="93"/>
      <c r="C35" s="93"/>
      <c r="D35" s="93"/>
      <c r="E35" s="93"/>
      <c r="F35" s="93"/>
      <c r="G35" s="158"/>
      <c r="H35" s="158"/>
      <c r="I35" s="158"/>
      <c r="J35" s="93"/>
      <c r="K35" s="93"/>
      <c r="L35" s="93"/>
      <c r="M35" s="93"/>
      <c r="N35" s="93"/>
      <c r="O35" s="158"/>
      <c r="P35" s="158"/>
      <c r="Q35" s="158"/>
    </row>
    <row r="36" spans="1:17" x14ac:dyDescent="0.2">
      <c r="A36" s="159"/>
      <c r="B36" s="159"/>
      <c r="C36" s="93"/>
      <c r="D36" s="93"/>
      <c r="E36" s="93"/>
      <c r="F36" s="93"/>
      <c r="G36" s="93"/>
      <c r="H36" s="93"/>
      <c r="I36" s="93"/>
      <c r="J36" s="93"/>
      <c r="K36" s="93"/>
      <c r="L36" s="93"/>
      <c r="M36" s="93"/>
      <c r="N36" s="93"/>
      <c r="O36" s="93"/>
      <c r="P36" s="93"/>
      <c r="Q36" s="93"/>
    </row>
    <row r="37" spans="1:17" x14ac:dyDescent="0.2">
      <c r="A37" s="160" t="s">
        <v>198</v>
      </c>
      <c r="B37" s="160"/>
      <c r="C37" s="93"/>
      <c r="D37" s="93"/>
      <c r="E37" s="93"/>
      <c r="F37" s="93"/>
      <c r="G37" s="93"/>
      <c r="H37" s="93"/>
      <c r="I37" s="93"/>
      <c r="J37" s="93"/>
      <c r="K37" s="93"/>
      <c r="L37" s="93"/>
      <c r="M37" s="93"/>
      <c r="N37" s="93"/>
      <c r="O37" s="93"/>
      <c r="P37" s="93"/>
      <c r="Q37" s="93"/>
    </row>
    <row r="38" spans="1:17" x14ac:dyDescent="0.2">
      <c r="A38" s="159" t="s">
        <v>195</v>
      </c>
      <c r="B38" s="159"/>
      <c r="C38" s="161">
        <f>'1.Project Cost and MOF'!D5</f>
        <v>17000795.82</v>
      </c>
      <c r="D38" s="161">
        <f t="shared" ref="D38:I38" si="8">C41</f>
        <v>16461870.592506001</v>
      </c>
      <c r="E38" s="161">
        <f t="shared" si="8"/>
        <v>15922945.365012001</v>
      </c>
      <c r="F38" s="161">
        <f t="shared" si="8"/>
        <v>15384020.137518002</v>
      </c>
      <c r="G38" s="161">
        <f t="shared" si="8"/>
        <v>14845094.910024002</v>
      </c>
      <c r="H38" s="161">
        <f t="shared" si="8"/>
        <v>14306169.682530003</v>
      </c>
      <c r="I38" s="161">
        <f t="shared" si="8"/>
        <v>13767244.455036003</v>
      </c>
      <c r="J38" s="93"/>
      <c r="K38" s="161">
        <f>C38</f>
        <v>17000795.82</v>
      </c>
      <c r="L38" s="161">
        <f t="shared" ref="L38:Q38" si="9">K41</f>
        <v>15300716.238</v>
      </c>
      <c r="M38" s="161">
        <f t="shared" si="9"/>
        <v>13770644.6142</v>
      </c>
      <c r="N38" s="161">
        <f t="shared" si="9"/>
        <v>12393580.15278</v>
      </c>
      <c r="O38" s="161">
        <f t="shared" si="9"/>
        <v>11154222.137502</v>
      </c>
      <c r="P38" s="161">
        <f t="shared" si="9"/>
        <v>10038799.923751799</v>
      </c>
      <c r="Q38" s="161">
        <f t="shared" si="9"/>
        <v>9034919.9313766193</v>
      </c>
    </row>
    <row r="39" spans="1:17" x14ac:dyDescent="0.2">
      <c r="A39" s="159" t="s">
        <v>17</v>
      </c>
      <c r="B39" s="159"/>
      <c r="C39" s="161">
        <f t="shared" ref="C39:I39" si="10">$C$38*$B$75</f>
        <v>538925.22749399999</v>
      </c>
      <c r="D39" s="161">
        <f t="shared" si="10"/>
        <v>538925.22749399999</v>
      </c>
      <c r="E39" s="161">
        <f t="shared" si="10"/>
        <v>538925.22749399999</v>
      </c>
      <c r="F39" s="161">
        <f t="shared" si="10"/>
        <v>538925.22749399999</v>
      </c>
      <c r="G39" s="161">
        <f t="shared" si="10"/>
        <v>538925.22749399999</v>
      </c>
      <c r="H39" s="161">
        <f t="shared" si="10"/>
        <v>538925.22749399999</v>
      </c>
      <c r="I39" s="161">
        <f t="shared" si="10"/>
        <v>538925.22749399999</v>
      </c>
      <c r="J39" s="93"/>
      <c r="K39" s="161">
        <f t="shared" ref="K39:Q39" si="11">K38*$C$75</f>
        <v>1700079.5820000002</v>
      </c>
      <c r="L39" s="161">
        <f t="shared" si="11"/>
        <v>1530071.6238000002</v>
      </c>
      <c r="M39" s="161">
        <f t="shared" si="11"/>
        <v>1377064.4614200001</v>
      </c>
      <c r="N39" s="161">
        <f t="shared" si="11"/>
        <v>1239358.0152780002</v>
      </c>
      <c r="O39" s="161">
        <f t="shared" si="11"/>
        <v>1115422.2137502001</v>
      </c>
      <c r="P39" s="161">
        <f t="shared" si="11"/>
        <v>1003879.99237518</v>
      </c>
      <c r="Q39" s="161">
        <f t="shared" si="11"/>
        <v>903491.99313766195</v>
      </c>
    </row>
    <row r="40" spans="1:17" x14ac:dyDescent="0.2">
      <c r="A40" s="159" t="s">
        <v>196</v>
      </c>
      <c r="B40" s="159"/>
      <c r="C40" s="161">
        <f>C39</f>
        <v>538925.22749399999</v>
      </c>
      <c r="D40" s="161">
        <f t="shared" ref="D40:I40" si="12">C40+D39</f>
        <v>1077850.454988</v>
      </c>
      <c r="E40" s="161">
        <f t="shared" si="12"/>
        <v>1616775.682482</v>
      </c>
      <c r="F40" s="161">
        <f t="shared" si="12"/>
        <v>2155700.909976</v>
      </c>
      <c r="G40" s="161">
        <f t="shared" si="12"/>
        <v>2694626.13747</v>
      </c>
      <c r="H40" s="161">
        <f t="shared" si="12"/>
        <v>3233551.3649639999</v>
      </c>
      <c r="I40" s="161">
        <f t="shared" si="12"/>
        <v>3772476.5924579999</v>
      </c>
      <c r="J40" s="93"/>
      <c r="K40" s="161">
        <f>K39</f>
        <v>1700079.5820000002</v>
      </c>
      <c r="L40" s="161">
        <f t="shared" ref="L40:Q40" si="13">K40+L39</f>
        <v>3230151.2058000006</v>
      </c>
      <c r="M40" s="161">
        <f t="shared" si="13"/>
        <v>4607215.6672200002</v>
      </c>
      <c r="N40" s="161">
        <f t="shared" si="13"/>
        <v>5846573.6824980006</v>
      </c>
      <c r="O40" s="161">
        <f t="shared" si="13"/>
        <v>6961995.8962482009</v>
      </c>
      <c r="P40" s="161">
        <f t="shared" si="13"/>
        <v>7965875.888623381</v>
      </c>
      <c r="Q40" s="161">
        <f t="shared" si="13"/>
        <v>8869367.8817610424</v>
      </c>
    </row>
    <row r="41" spans="1:17" x14ac:dyDescent="0.2">
      <c r="A41" s="159" t="s">
        <v>197</v>
      </c>
      <c r="B41" s="159"/>
      <c r="C41" s="161">
        <f t="shared" ref="C41:I41" si="14">C38-C39</f>
        <v>16461870.592506001</v>
      </c>
      <c r="D41" s="161">
        <f t="shared" si="14"/>
        <v>15922945.365012001</v>
      </c>
      <c r="E41" s="161">
        <f t="shared" si="14"/>
        <v>15384020.137518002</v>
      </c>
      <c r="F41" s="161">
        <f t="shared" si="14"/>
        <v>14845094.910024002</v>
      </c>
      <c r="G41" s="161">
        <f t="shared" si="14"/>
        <v>14306169.682530003</v>
      </c>
      <c r="H41" s="161">
        <f t="shared" si="14"/>
        <v>13767244.455036003</v>
      </c>
      <c r="I41" s="161">
        <f t="shared" si="14"/>
        <v>13228319.227542004</v>
      </c>
      <c r="J41" s="93"/>
      <c r="K41" s="161">
        <f t="shared" ref="K41:Q41" si="15">K38-K39</f>
        <v>15300716.238</v>
      </c>
      <c r="L41" s="161">
        <f t="shared" si="15"/>
        <v>13770644.6142</v>
      </c>
      <c r="M41" s="161">
        <f t="shared" si="15"/>
        <v>12393580.15278</v>
      </c>
      <c r="N41" s="161">
        <f t="shared" si="15"/>
        <v>11154222.137502</v>
      </c>
      <c r="O41" s="161">
        <f t="shared" si="15"/>
        <v>10038799.923751799</v>
      </c>
      <c r="P41" s="161">
        <f t="shared" si="15"/>
        <v>9034919.9313766193</v>
      </c>
      <c r="Q41" s="161">
        <f t="shared" si="15"/>
        <v>8131427.938238957</v>
      </c>
    </row>
    <row r="42" spans="1:17" x14ac:dyDescent="0.2">
      <c r="A42" s="159"/>
      <c r="B42" s="159"/>
      <c r="C42" s="161"/>
      <c r="D42" s="161"/>
      <c r="E42" s="161"/>
      <c r="F42" s="161"/>
      <c r="G42" s="161"/>
      <c r="H42" s="161"/>
      <c r="I42" s="161"/>
      <c r="J42" s="93"/>
      <c r="K42" s="161"/>
      <c r="L42" s="161"/>
      <c r="M42" s="161"/>
      <c r="N42" s="161"/>
      <c r="O42" s="161"/>
      <c r="P42" s="161"/>
      <c r="Q42" s="161"/>
    </row>
    <row r="43" spans="1:17" x14ac:dyDescent="0.2">
      <c r="A43" s="160" t="s">
        <v>199</v>
      </c>
      <c r="B43" s="160"/>
      <c r="C43" s="161"/>
      <c r="D43" s="161"/>
      <c r="E43" s="161"/>
      <c r="F43" s="161"/>
      <c r="G43" s="161"/>
      <c r="H43" s="161"/>
      <c r="I43" s="161"/>
      <c r="J43" s="93"/>
      <c r="K43" s="161"/>
      <c r="L43" s="161"/>
      <c r="M43" s="161"/>
      <c r="N43" s="161"/>
      <c r="O43" s="161"/>
      <c r="P43" s="161"/>
      <c r="Q43" s="161"/>
    </row>
    <row r="44" spans="1:17" x14ac:dyDescent="0.2">
      <c r="A44" s="159" t="s">
        <v>195</v>
      </c>
      <c r="B44" s="159"/>
      <c r="C44" s="161">
        <f>'1.Project Cost and MOF'!D6</f>
        <v>11701001</v>
      </c>
      <c r="D44" s="161">
        <f t="shared" ref="D44:I44" si="16">C47</f>
        <v>10960327.636700001</v>
      </c>
      <c r="E44" s="161">
        <f t="shared" si="16"/>
        <v>10219654.273400001</v>
      </c>
      <c r="F44" s="161">
        <f t="shared" si="16"/>
        <v>9478980.9101000018</v>
      </c>
      <c r="G44" s="161">
        <f t="shared" si="16"/>
        <v>8738307.5468000025</v>
      </c>
      <c r="H44" s="161">
        <f t="shared" si="16"/>
        <v>7997634.1835000021</v>
      </c>
      <c r="I44" s="161">
        <f t="shared" si="16"/>
        <v>7256960.8202000018</v>
      </c>
      <c r="J44" s="93"/>
      <c r="K44" s="161">
        <f>C44</f>
        <v>11701001</v>
      </c>
      <c r="L44" s="161">
        <f t="shared" ref="L44:Q44" si="17">K47</f>
        <v>9945850.8499999996</v>
      </c>
      <c r="M44" s="161">
        <f t="shared" si="17"/>
        <v>8453973.2225000001</v>
      </c>
      <c r="N44" s="161">
        <f t="shared" si="17"/>
        <v>7185877.2391250003</v>
      </c>
      <c r="O44" s="161">
        <f t="shared" si="17"/>
        <v>6107995.6532562505</v>
      </c>
      <c r="P44" s="161">
        <f t="shared" si="17"/>
        <v>5191796.3052678127</v>
      </c>
      <c r="Q44" s="161">
        <f t="shared" si="17"/>
        <v>4413026.8594776411</v>
      </c>
    </row>
    <row r="45" spans="1:17" x14ac:dyDescent="0.2">
      <c r="A45" s="159" t="s">
        <v>17</v>
      </c>
      <c r="B45" s="159"/>
      <c r="C45" s="161">
        <f t="shared" ref="C45:I45" si="18">$C$44*$B$79</f>
        <v>740673.36329999997</v>
      </c>
      <c r="D45" s="161">
        <f t="shared" si="18"/>
        <v>740673.36329999997</v>
      </c>
      <c r="E45" s="161">
        <f t="shared" si="18"/>
        <v>740673.36329999997</v>
      </c>
      <c r="F45" s="161">
        <f t="shared" si="18"/>
        <v>740673.36329999997</v>
      </c>
      <c r="G45" s="161">
        <f t="shared" si="18"/>
        <v>740673.36329999997</v>
      </c>
      <c r="H45" s="161">
        <f t="shared" si="18"/>
        <v>740673.36329999997</v>
      </c>
      <c r="I45" s="161">
        <f t="shared" si="18"/>
        <v>740673.36329999997</v>
      </c>
      <c r="J45" s="93"/>
      <c r="K45" s="161">
        <f t="shared" ref="K45:Q45" si="19">K44*$C$79</f>
        <v>1755150.15</v>
      </c>
      <c r="L45" s="161">
        <f t="shared" si="19"/>
        <v>1491877.6274999999</v>
      </c>
      <c r="M45" s="161">
        <f t="shared" si="19"/>
        <v>1268095.9833750001</v>
      </c>
      <c r="N45" s="161">
        <f t="shared" si="19"/>
        <v>1077881.58586875</v>
      </c>
      <c r="O45" s="161">
        <f t="shared" si="19"/>
        <v>916199.34798843751</v>
      </c>
      <c r="P45" s="161">
        <f t="shared" si="19"/>
        <v>778769.44579017186</v>
      </c>
      <c r="Q45" s="161">
        <f t="shared" si="19"/>
        <v>661954.02892164618</v>
      </c>
    </row>
    <row r="46" spans="1:17" x14ac:dyDescent="0.2">
      <c r="A46" s="159" t="s">
        <v>196</v>
      </c>
      <c r="B46" s="159"/>
      <c r="C46" s="161">
        <f>C45</f>
        <v>740673.36329999997</v>
      </c>
      <c r="D46" s="161">
        <f t="shared" ref="D46:I46" si="20">C46+D45</f>
        <v>1481346.7265999999</v>
      </c>
      <c r="E46" s="161">
        <f t="shared" si="20"/>
        <v>2222020.0899</v>
      </c>
      <c r="F46" s="161">
        <f t="shared" si="20"/>
        <v>2962693.4531999999</v>
      </c>
      <c r="G46" s="161">
        <f t="shared" si="20"/>
        <v>3703366.8164999997</v>
      </c>
      <c r="H46" s="161">
        <f t="shared" si="20"/>
        <v>4444040.1798</v>
      </c>
      <c r="I46" s="161">
        <f t="shared" si="20"/>
        <v>5184713.5431000004</v>
      </c>
      <c r="J46" s="93"/>
      <c r="K46" s="161">
        <f>K45</f>
        <v>1755150.15</v>
      </c>
      <c r="L46" s="161">
        <f t="shared" ref="L46:Q46" si="21">K46+L45</f>
        <v>3247027.7774999999</v>
      </c>
      <c r="M46" s="161">
        <f t="shared" si="21"/>
        <v>4515123.7608749997</v>
      </c>
      <c r="N46" s="161">
        <f t="shared" si="21"/>
        <v>5593005.3467437495</v>
      </c>
      <c r="O46" s="161">
        <f t="shared" si="21"/>
        <v>6509204.6947321873</v>
      </c>
      <c r="P46" s="161">
        <f t="shared" si="21"/>
        <v>7287974.1405223589</v>
      </c>
      <c r="Q46" s="161">
        <f t="shared" si="21"/>
        <v>7949928.169444005</v>
      </c>
    </row>
    <row r="47" spans="1:17" x14ac:dyDescent="0.2">
      <c r="A47" s="159" t="s">
        <v>197</v>
      </c>
      <c r="B47" s="159"/>
      <c r="C47" s="161">
        <f t="shared" ref="C47:I47" si="22">C44-C45</f>
        <v>10960327.636700001</v>
      </c>
      <c r="D47" s="161">
        <f t="shared" si="22"/>
        <v>10219654.273400001</v>
      </c>
      <c r="E47" s="161">
        <f t="shared" si="22"/>
        <v>9478980.9101000018</v>
      </c>
      <c r="F47" s="161">
        <f t="shared" si="22"/>
        <v>8738307.5468000025</v>
      </c>
      <c r="G47" s="161">
        <f t="shared" si="22"/>
        <v>7997634.1835000021</v>
      </c>
      <c r="H47" s="161">
        <f t="shared" si="22"/>
        <v>7256960.8202000018</v>
      </c>
      <c r="I47" s="161">
        <f t="shared" si="22"/>
        <v>6516287.4569000015</v>
      </c>
      <c r="J47" s="93"/>
      <c r="K47" s="161">
        <f t="shared" ref="K47:Q47" si="23">K44-K45</f>
        <v>9945850.8499999996</v>
      </c>
      <c r="L47" s="161">
        <f t="shared" si="23"/>
        <v>8453973.2225000001</v>
      </c>
      <c r="M47" s="161">
        <f t="shared" si="23"/>
        <v>7185877.2391250003</v>
      </c>
      <c r="N47" s="161">
        <f t="shared" si="23"/>
        <v>6107995.6532562505</v>
      </c>
      <c r="O47" s="161">
        <f t="shared" si="23"/>
        <v>5191796.3052678127</v>
      </c>
      <c r="P47" s="161">
        <f t="shared" si="23"/>
        <v>4413026.8594776411</v>
      </c>
      <c r="Q47" s="161">
        <f t="shared" si="23"/>
        <v>3751072.830555995</v>
      </c>
    </row>
    <row r="48" spans="1:17" x14ac:dyDescent="0.2">
      <c r="A48" s="159"/>
      <c r="B48" s="159"/>
      <c r="C48" s="161"/>
      <c r="D48" s="161"/>
      <c r="E48" s="161"/>
      <c r="F48" s="161"/>
      <c r="G48" s="161"/>
      <c r="H48" s="161"/>
      <c r="I48" s="161"/>
      <c r="J48" s="93"/>
      <c r="K48" s="161"/>
      <c r="L48" s="161"/>
      <c r="M48" s="161"/>
      <c r="N48" s="161"/>
      <c r="O48" s="161"/>
      <c r="P48" s="161"/>
      <c r="Q48" s="161"/>
    </row>
    <row r="49" spans="1:17" x14ac:dyDescent="0.2">
      <c r="A49" s="160" t="s">
        <v>200</v>
      </c>
      <c r="B49" s="160"/>
      <c r="C49" s="161"/>
      <c r="D49" s="161"/>
      <c r="E49" s="161"/>
      <c r="F49" s="161"/>
      <c r="G49" s="161"/>
      <c r="H49" s="161"/>
      <c r="I49" s="161"/>
      <c r="J49" s="93"/>
      <c r="K49" s="161"/>
      <c r="L49" s="161"/>
      <c r="M49" s="161"/>
      <c r="N49" s="161"/>
      <c r="O49" s="161"/>
      <c r="P49" s="161"/>
      <c r="Q49" s="161"/>
    </row>
    <row r="50" spans="1:17" x14ac:dyDescent="0.2">
      <c r="A50" s="159" t="s">
        <v>195</v>
      </c>
      <c r="B50" s="159"/>
      <c r="C50" s="161">
        <f>'1.Project Cost and MOF'!D7</f>
        <v>257240</v>
      </c>
      <c r="D50" s="161">
        <f t="shared" ref="D50:I50" si="24">C53</f>
        <v>231516</v>
      </c>
      <c r="E50" s="161">
        <f t="shared" si="24"/>
        <v>205792</v>
      </c>
      <c r="F50" s="161">
        <f t="shared" si="24"/>
        <v>180068</v>
      </c>
      <c r="G50" s="161">
        <f t="shared" si="24"/>
        <v>154344</v>
      </c>
      <c r="H50" s="161">
        <f t="shared" si="24"/>
        <v>128620</v>
      </c>
      <c r="I50" s="161">
        <f t="shared" si="24"/>
        <v>102896</v>
      </c>
      <c r="J50" s="93"/>
      <c r="K50" s="161">
        <f>C50</f>
        <v>257240</v>
      </c>
      <c r="L50" s="161">
        <f t="shared" ref="L50:Q50" si="25">K53</f>
        <v>231516</v>
      </c>
      <c r="M50" s="161">
        <f t="shared" si="25"/>
        <v>208364.4</v>
      </c>
      <c r="N50" s="161">
        <f t="shared" si="25"/>
        <v>187527.96</v>
      </c>
      <c r="O50" s="161">
        <f t="shared" si="25"/>
        <v>168775.16399999999</v>
      </c>
      <c r="P50" s="161">
        <f t="shared" si="25"/>
        <v>151897.6476</v>
      </c>
      <c r="Q50" s="161">
        <f t="shared" si="25"/>
        <v>136707.88284000001</v>
      </c>
    </row>
    <row r="51" spans="1:17" x14ac:dyDescent="0.2">
      <c r="A51" s="159" t="s">
        <v>17</v>
      </c>
      <c r="B51" s="159"/>
      <c r="C51" s="161">
        <f t="shared" ref="C51:I51" si="26">$C$50*$B$76</f>
        <v>25724</v>
      </c>
      <c r="D51" s="161">
        <f t="shared" si="26"/>
        <v>25724</v>
      </c>
      <c r="E51" s="161">
        <f t="shared" si="26"/>
        <v>25724</v>
      </c>
      <c r="F51" s="161">
        <f t="shared" si="26"/>
        <v>25724</v>
      </c>
      <c r="G51" s="161">
        <f t="shared" si="26"/>
        <v>25724</v>
      </c>
      <c r="H51" s="161">
        <f t="shared" si="26"/>
        <v>25724</v>
      </c>
      <c r="I51" s="161">
        <f t="shared" si="26"/>
        <v>25724</v>
      </c>
      <c r="J51" s="93"/>
      <c r="K51" s="161">
        <f t="shared" ref="K51:Q51" si="27">K50*$C$76</f>
        <v>25724</v>
      </c>
      <c r="L51" s="161">
        <f t="shared" si="27"/>
        <v>23151.600000000002</v>
      </c>
      <c r="M51" s="161">
        <f t="shared" si="27"/>
        <v>20836.440000000002</v>
      </c>
      <c r="N51" s="161">
        <f t="shared" si="27"/>
        <v>18752.795999999998</v>
      </c>
      <c r="O51" s="161">
        <f t="shared" si="27"/>
        <v>16877.5164</v>
      </c>
      <c r="P51" s="161">
        <f t="shared" si="27"/>
        <v>15189.76476</v>
      </c>
      <c r="Q51" s="161">
        <f t="shared" si="27"/>
        <v>13670.788284000002</v>
      </c>
    </row>
    <row r="52" spans="1:17" x14ac:dyDescent="0.2">
      <c r="A52" s="159" t="s">
        <v>196</v>
      </c>
      <c r="B52" s="159"/>
      <c r="C52" s="161">
        <f>C51</f>
        <v>25724</v>
      </c>
      <c r="D52" s="161">
        <f t="shared" ref="D52:I52" si="28">C52+D51</f>
        <v>51448</v>
      </c>
      <c r="E52" s="161">
        <f t="shared" si="28"/>
        <v>77172</v>
      </c>
      <c r="F52" s="161">
        <f t="shared" si="28"/>
        <v>102896</v>
      </c>
      <c r="G52" s="161">
        <f t="shared" si="28"/>
        <v>128620</v>
      </c>
      <c r="H52" s="161">
        <f t="shared" si="28"/>
        <v>154344</v>
      </c>
      <c r="I52" s="161">
        <f t="shared" si="28"/>
        <v>180068</v>
      </c>
      <c r="J52" s="93"/>
      <c r="K52" s="161">
        <f>K51</f>
        <v>25724</v>
      </c>
      <c r="L52" s="161">
        <f t="shared" ref="L52:Q52" si="29">K52+L51</f>
        <v>48875.600000000006</v>
      </c>
      <c r="M52" s="161">
        <f t="shared" si="29"/>
        <v>69712.040000000008</v>
      </c>
      <c r="N52" s="161">
        <f t="shared" si="29"/>
        <v>88464.83600000001</v>
      </c>
      <c r="O52" s="161">
        <f t="shared" si="29"/>
        <v>105342.3524</v>
      </c>
      <c r="P52" s="161">
        <f t="shared" si="29"/>
        <v>120532.11716000001</v>
      </c>
      <c r="Q52" s="161">
        <f t="shared" si="29"/>
        <v>134202.905444</v>
      </c>
    </row>
    <row r="53" spans="1:17" x14ac:dyDescent="0.2">
      <c r="A53" s="159" t="s">
        <v>197</v>
      </c>
      <c r="B53" s="159"/>
      <c r="C53" s="161">
        <f t="shared" ref="C53:I53" si="30">C50-C51</f>
        <v>231516</v>
      </c>
      <c r="D53" s="161">
        <f t="shared" si="30"/>
        <v>205792</v>
      </c>
      <c r="E53" s="161">
        <f t="shared" si="30"/>
        <v>180068</v>
      </c>
      <c r="F53" s="161">
        <f t="shared" si="30"/>
        <v>154344</v>
      </c>
      <c r="G53" s="161">
        <f t="shared" si="30"/>
        <v>128620</v>
      </c>
      <c r="H53" s="161">
        <f t="shared" si="30"/>
        <v>102896</v>
      </c>
      <c r="I53" s="161">
        <f t="shared" si="30"/>
        <v>77172</v>
      </c>
      <c r="J53" s="93"/>
      <c r="K53" s="161">
        <f t="shared" ref="K53:Q53" si="31">K50-K51</f>
        <v>231516</v>
      </c>
      <c r="L53" s="161">
        <f t="shared" si="31"/>
        <v>208364.4</v>
      </c>
      <c r="M53" s="161">
        <f t="shared" si="31"/>
        <v>187527.96</v>
      </c>
      <c r="N53" s="161">
        <f t="shared" si="31"/>
        <v>168775.16399999999</v>
      </c>
      <c r="O53" s="161">
        <f t="shared" si="31"/>
        <v>151897.6476</v>
      </c>
      <c r="P53" s="161">
        <f t="shared" si="31"/>
        <v>136707.88284000001</v>
      </c>
      <c r="Q53" s="161">
        <f t="shared" si="31"/>
        <v>123037.094556</v>
      </c>
    </row>
    <row r="54" spans="1:17" x14ac:dyDescent="0.2">
      <c r="A54" s="159"/>
      <c r="B54" s="159"/>
      <c r="C54" s="161"/>
      <c r="D54" s="161"/>
      <c r="E54" s="161"/>
      <c r="F54" s="161"/>
      <c r="G54" s="161"/>
      <c r="H54" s="161"/>
      <c r="I54" s="161"/>
      <c r="J54" s="93"/>
      <c r="K54" s="161"/>
      <c r="L54" s="161"/>
      <c r="M54" s="161"/>
      <c r="N54" s="161"/>
      <c r="O54" s="161"/>
      <c r="P54" s="161"/>
      <c r="Q54" s="161"/>
    </row>
    <row r="55" spans="1:17" x14ac:dyDescent="0.2">
      <c r="A55" s="160" t="s">
        <v>158</v>
      </c>
      <c r="B55" s="160"/>
      <c r="C55" s="161"/>
      <c r="D55" s="161"/>
      <c r="E55" s="161"/>
      <c r="F55" s="161"/>
      <c r="G55" s="161"/>
      <c r="H55" s="161"/>
      <c r="I55" s="161"/>
      <c r="J55" s="93"/>
      <c r="K55" s="161"/>
      <c r="L55" s="161"/>
      <c r="M55" s="161"/>
      <c r="N55" s="161"/>
      <c r="O55" s="161"/>
      <c r="P55" s="161"/>
      <c r="Q55" s="161"/>
    </row>
    <row r="56" spans="1:17" x14ac:dyDescent="0.2">
      <c r="A56" s="159" t="s">
        <v>195</v>
      </c>
      <c r="B56" s="159"/>
      <c r="C56" s="161">
        <f>'1.Project Cost and MOF'!D9</f>
        <v>0</v>
      </c>
      <c r="D56" s="161">
        <f t="shared" ref="D56:I56" si="32">C59</f>
        <v>0</v>
      </c>
      <c r="E56" s="161">
        <f t="shared" si="32"/>
        <v>0</v>
      </c>
      <c r="F56" s="161">
        <f t="shared" si="32"/>
        <v>0</v>
      </c>
      <c r="G56" s="161">
        <f t="shared" si="32"/>
        <v>0</v>
      </c>
      <c r="H56" s="161">
        <f t="shared" si="32"/>
        <v>0</v>
      </c>
      <c r="I56" s="161">
        <f t="shared" si="32"/>
        <v>0</v>
      </c>
      <c r="J56" s="93"/>
      <c r="K56" s="161">
        <f>C56</f>
        <v>0</v>
      </c>
      <c r="L56" s="161">
        <f t="shared" ref="L56:Q56" si="33">K59</f>
        <v>0</v>
      </c>
      <c r="M56" s="161">
        <f t="shared" si="33"/>
        <v>0</v>
      </c>
      <c r="N56" s="161">
        <f t="shared" si="33"/>
        <v>0</v>
      </c>
      <c r="O56" s="161">
        <f t="shared" si="33"/>
        <v>0</v>
      </c>
      <c r="P56" s="161">
        <f t="shared" si="33"/>
        <v>0</v>
      </c>
      <c r="Q56" s="161">
        <f t="shared" si="33"/>
        <v>0</v>
      </c>
    </row>
    <row r="57" spans="1:17" x14ac:dyDescent="0.2">
      <c r="A57" s="159" t="s">
        <v>17</v>
      </c>
      <c r="B57" s="159"/>
      <c r="C57" s="161">
        <f t="shared" ref="C57:I57" si="34">$C$56*$B$78</f>
        <v>0</v>
      </c>
      <c r="D57" s="161">
        <f t="shared" si="34"/>
        <v>0</v>
      </c>
      <c r="E57" s="161">
        <f t="shared" si="34"/>
        <v>0</v>
      </c>
      <c r="F57" s="161">
        <f t="shared" si="34"/>
        <v>0</v>
      </c>
      <c r="G57" s="161">
        <f t="shared" si="34"/>
        <v>0</v>
      </c>
      <c r="H57" s="161">
        <f t="shared" si="34"/>
        <v>0</v>
      </c>
      <c r="I57" s="161">
        <f t="shared" si="34"/>
        <v>0</v>
      </c>
      <c r="J57" s="93"/>
      <c r="K57" s="161">
        <f t="shared" ref="K57:Q57" si="35">K56*$C$78</f>
        <v>0</v>
      </c>
      <c r="L57" s="161">
        <f t="shared" si="35"/>
        <v>0</v>
      </c>
      <c r="M57" s="161">
        <f t="shared" si="35"/>
        <v>0</v>
      </c>
      <c r="N57" s="161">
        <f t="shared" si="35"/>
        <v>0</v>
      </c>
      <c r="O57" s="161">
        <f t="shared" si="35"/>
        <v>0</v>
      </c>
      <c r="P57" s="161">
        <f t="shared" si="35"/>
        <v>0</v>
      </c>
      <c r="Q57" s="161">
        <f t="shared" si="35"/>
        <v>0</v>
      </c>
    </row>
    <row r="58" spans="1:17" x14ac:dyDescent="0.2">
      <c r="A58" s="159" t="s">
        <v>196</v>
      </c>
      <c r="B58" s="159"/>
      <c r="C58" s="161">
        <f>C57</f>
        <v>0</v>
      </c>
      <c r="D58" s="161">
        <f t="shared" ref="D58:I58" si="36">C58+D57</f>
        <v>0</v>
      </c>
      <c r="E58" s="161">
        <f t="shared" si="36"/>
        <v>0</v>
      </c>
      <c r="F58" s="161">
        <f t="shared" si="36"/>
        <v>0</v>
      </c>
      <c r="G58" s="161">
        <f t="shared" si="36"/>
        <v>0</v>
      </c>
      <c r="H58" s="161">
        <f t="shared" si="36"/>
        <v>0</v>
      </c>
      <c r="I58" s="161">
        <f t="shared" si="36"/>
        <v>0</v>
      </c>
      <c r="J58" s="93"/>
      <c r="K58" s="161">
        <f>K57</f>
        <v>0</v>
      </c>
      <c r="L58" s="161">
        <f t="shared" ref="L58:Q58" si="37">K58+L57</f>
        <v>0</v>
      </c>
      <c r="M58" s="161">
        <f t="shared" si="37"/>
        <v>0</v>
      </c>
      <c r="N58" s="161">
        <f t="shared" si="37"/>
        <v>0</v>
      </c>
      <c r="O58" s="161">
        <f t="shared" si="37"/>
        <v>0</v>
      </c>
      <c r="P58" s="161">
        <f t="shared" si="37"/>
        <v>0</v>
      </c>
      <c r="Q58" s="161">
        <f t="shared" si="37"/>
        <v>0</v>
      </c>
    </row>
    <row r="59" spans="1:17" x14ac:dyDescent="0.2">
      <c r="A59" s="159" t="s">
        <v>197</v>
      </c>
      <c r="B59" s="159"/>
      <c r="C59" s="161">
        <f t="shared" ref="C59:I59" si="38">C56-C57</f>
        <v>0</v>
      </c>
      <c r="D59" s="161">
        <f t="shared" si="38"/>
        <v>0</v>
      </c>
      <c r="E59" s="161">
        <f t="shared" si="38"/>
        <v>0</v>
      </c>
      <c r="F59" s="161">
        <f t="shared" si="38"/>
        <v>0</v>
      </c>
      <c r="G59" s="161">
        <f t="shared" si="38"/>
        <v>0</v>
      </c>
      <c r="H59" s="161">
        <f t="shared" si="38"/>
        <v>0</v>
      </c>
      <c r="I59" s="161">
        <f t="shared" si="38"/>
        <v>0</v>
      </c>
      <c r="J59" s="93"/>
      <c r="K59" s="161">
        <f t="shared" ref="K59:Q59" si="39">K56-K57</f>
        <v>0</v>
      </c>
      <c r="L59" s="161">
        <f t="shared" si="39"/>
        <v>0</v>
      </c>
      <c r="M59" s="161">
        <f t="shared" si="39"/>
        <v>0</v>
      </c>
      <c r="N59" s="161">
        <f t="shared" si="39"/>
        <v>0</v>
      </c>
      <c r="O59" s="161">
        <f t="shared" si="39"/>
        <v>0</v>
      </c>
      <c r="P59" s="161">
        <f t="shared" si="39"/>
        <v>0</v>
      </c>
      <c r="Q59" s="161">
        <f t="shared" si="39"/>
        <v>0</v>
      </c>
    </row>
    <row r="60" spans="1:17" x14ac:dyDescent="0.2">
      <c r="A60" s="159"/>
      <c r="B60" s="159"/>
      <c r="C60" s="161"/>
      <c r="D60" s="161"/>
      <c r="E60" s="161"/>
      <c r="F60" s="161"/>
      <c r="G60" s="161"/>
      <c r="H60" s="161"/>
      <c r="I60" s="161"/>
      <c r="J60" s="93"/>
      <c r="K60" s="161"/>
      <c r="L60" s="161"/>
      <c r="M60" s="161"/>
      <c r="N60" s="161"/>
      <c r="O60" s="161"/>
      <c r="P60" s="161"/>
      <c r="Q60" s="161"/>
    </row>
    <row r="61" spans="1:17" x14ac:dyDescent="0.2">
      <c r="A61" s="162" t="s">
        <v>322</v>
      </c>
      <c r="B61" s="159"/>
      <c r="C61" s="161"/>
      <c r="D61" s="161"/>
      <c r="E61" s="161"/>
      <c r="F61" s="161"/>
      <c r="G61" s="161"/>
      <c r="H61" s="161"/>
      <c r="I61" s="161"/>
      <c r="J61" s="93"/>
      <c r="K61" s="161"/>
      <c r="L61" s="161"/>
      <c r="M61" s="161"/>
      <c r="N61" s="161"/>
      <c r="O61" s="161"/>
      <c r="P61" s="161"/>
      <c r="Q61" s="161"/>
    </row>
    <row r="62" spans="1:17" x14ac:dyDescent="0.2">
      <c r="A62" s="159" t="str">
        <f>A56</f>
        <v>Asset Value</v>
      </c>
      <c r="B62" s="159"/>
      <c r="C62" s="161">
        <f>'1.Project Cost and MOF'!D8</f>
        <v>522346.00240000006</v>
      </c>
      <c r="D62" s="161">
        <f t="shared" ref="D62:I62" si="40">C65</f>
        <v>470111.40216000006</v>
      </c>
      <c r="E62" s="161">
        <f t="shared" si="40"/>
        <v>417876.80192000006</v>
      </c>
      <c r="F62" s="161">
        <f t="shared" si="40"/>
        <v>365642.20168000006</v>
      </c>
      <c r="G62" s="161">
        <f t="shared" si="40"/>
        <v>313407.60144000006</v>
      </c>
      <c r="H62" s="161">
        <f t="shared" si="40"/>
        <v>261173.00120000006</v>
      </c>
      <c r="I62" s="161">
        <f t="shared" si="40"/>
        <v>208938.40096000006</v>
      </c>
      <c r="J62" s="93"/>
      <c r="K62" s="161">
        <f>C62</f>
        <v>522346.00240000006</v>
      </c>
      <c r="L62" s="161">
        <f t="shared" ref="L62:Q62" si="41">K65</f>
        <v>313407.60144</v>
      </c>
      <c r="M62" s="161">
        <f t="shared" si="41"/>
        <v>188044.560864</v>
      </c>
      <c r="N62" s="161">
        <f t="shared" si="41"/>
        <v>112826.73651839999</v>
      </c>
      <c r="O62" s="161">
        <f t="shared" si="41"/>
        <v>67696.041911039996</v>
      </c>
      <c r="P62" s="161">
        <f t="shared" si="41"/>
        <v>40617.625146623992</v>
      </c>
      <c r="Q62" s="161">
        <f t="shared" si="41"/>
        <v>24370.575087974394</v>
      </c>
    </row>
    <row r="63" spans="1:17" x14ac:dyDescent="0.2">
      <c r="A63" s="159" t="str">
        <f>A57</f>
        <v>Depreciation</v>
      </c>
      <c r="B63" s="159"/>
      <c r="C63" s="161">
        <f t="shared" ref="C63:I63" si="42">$C$62*$B$77</f>
        <v>52234.600240000007</v>
      </c>
      <c r="D63" s="161">
        <f t="shared" si="42"/>
        <v>52234.600240000007</v>
      </c>
      <c r="E63" s="161">
        <f t="shared" si="42"/>
        <v>52234.600240000007</v>
      </c>
      <c r="F63" s="161">
        <f t="shared" si="42"/>
        <v>52234.600240000007</v>
      </c>
      <c r="G63" s="161">
        <f t="shared" si="42"/>
        <v>52234.600240000007</v>
      </c>
      <c r="H63" s="161">
        <f t="shared" si="42"/>
        <v>52234.600240000007</v>
      </c>
      <c r="I63" s="161">
        <f t="shared" si="42"/>
        <v>52234.600240000007</v>
      </c>
      <c r="J63" s="93"/>
      <c r="K63" s="161">
        <f t="shared" ref="K63:Q63" si="43">K62*$C$77</f>
        <v>208938.40096000003</v>
      </c>
      <c r="L63" s="161">
        <f t="shared" si="43"/>
        <v>125363.040576</v>
      </c>
      <c r="M63" s="161">
        <f t="shared" si="43"/>
        <v>75217.824345600005</v>
      </c>
      <c r="N63" s="161">
        <f t="shared" si="43"/>
        <v>45130.694607359997</v>
      </c>
      <c r="O63" s="161">
        <f t="shared" si="43"/>
        <v>27078.416764416001</v>
      </c>
      <c r="P63" s="161">
        <f t="shared" si="43"/>
        <v>16247.050058649598</v>
      </c>
      <c r="Q63" s="161">
        <f t="shared" si="43"/>
        <v>9748.2300351897575</v>
      </c>
    </row>
    <row r="64" spans="1:17" x14ac:dyDescent="0.2">
      <c r="A64" s="159" t="str">
        <f>A58</f>
        <v>Accumulated Depreciation</v>
      </c>
      <c r="B64" s="159"/>
      <c r="C64" s="161">
        <f>C63</f>
        <v>52234.600240000007</v>
      </c>
      <c r="D64" s="161">
        <f t="shared" ref="D64:I64" si="44">D63+C64</f>
        <v>104469.20048000001</v>
      </c>
      <c r="E64" s="161">
        <f t="shared" si="44"/>
        <v>156703.80072000003</v>
      </c>
      <c r="F64" s="161">
        <f t="shared" si="44"/>
        <v>208938.40096000003</v>
      </c>
      <c r="G64" s="161">
        <f t="shared" si="44"/>
        <v>261173.00120000003</v>
      </c>
      <c r="H64" s="161">
        <f t="shared" si="44"/>
        <v>313407.60144000006</v>
      </c>
      <c r="I64" s="161">
        <f t="shared" si="44"/>
        <v>365642.20168000006</v>
      </c>
      <c r="J64" s="93"/>
      <c r="K64" s="161">
        <f>K63</f>
        <v>208938.40096000003</v>
      </c>
      <c r="L64" s="161">
        <f t="shared" ref="L64:Q64" si="45">L63+K64</f>
        <v>334301.441536</v>
      </c>
      <c r="M64" s="161">
        <f t="shared" si="45"/>
        <v>409519.26588159997</v>
      </c>
      <c r="N64" s="161">
        <f t="shared" si="45"/>
        <v>454649.96048895997</v>
      </c>
      <c r="O64" s="161">
        <f t="shared" si="45"/>
        <v>481728.37725337595</v>
      </c>
      <c r="P64" s="161">
        <f t="shared" si="45"/>
        <v>497975.42731202557</v>
      </c>
      <c r="Q64" s="161">
        <f t="shared" si="45"/>
        <v>507723.65734721534</v>
      </c>
    </row>
    <row r="65" spans="1:17" x14ac:dyDescent="0.2">
      <c r="A65" s="159" t="str">
        <f>A59</f>
        <v>Net Fixed Assets</v>
      </c>
      <c r="B65" s="159"/>
      <c r="C65" s="161">
        <f t="shared" ref="C65:I65" si="46">C62-C63</f>
        <v>470111.40216000006</v>
      </c>
      <c r="D65" s="161">
        <f t="shared" si="46"/>
        <v>417876.80192000006</v>
      </c>
      <c r="E65" s="161">
        <f t="shared" si="46"/>
        <v>365642.20168000006</v>
      </c>
      <c r="F65" s="161">
        <f t="shared" si="46"/>
        <v>313407.60144000006</v>
      </c>
      <c r="G65" s="161">
        <f t="shared" si="46"/>
        <v>261173.00120000006</v>
      </c>
      <c r="H65" s="161">
        <f t="shared" si="46"/>
        <v>208938.40096000006</v>
      </c>
      <c r="I65" s="161">
        <f t="shared" si="46"/>
        <v>156703.80072000006</v>
      </c>
      <c r="J65" s="93"/>
      <c r="K65" s="161">
        <f t="shared" ref="K65:Q65" si="47">K62-K63</f>
        <v>313407.60144</v>
      </c>
      <c r="L65" s="161">
        <f t="shared" si="47"/>
        <v>188044.560864</v>
      </c>
      <c r="M65" s="161">
        <f t="shared" si="47"/>
        <v>112826.73651839999</v>
      </c>
      <c r="N65" s="161">
        <f t="shared" si="47"/>
        <v>67696.041911039996</v>
      </c>
      <c r="O65" s="161">
        <f t="shared" si="47"/>
        <v>40617.625146623992</v>
      </c>
      <c r="P65" s="161">
        <f t="shared" si="47"/>
        <v>24370.575087974394</v>
      </c>
      <c r="Q65" s="161">
        <f t="shared" si="47"/>
        <v>14622.345052784636</v>
      </c>
    </row>
    <row r="66" spans="1:17" x14ac:dyDescent="0.2">
      <c r="A66" s="160" t="s">
        <v>201</v>
      </c>
      <c r="B66" s="160"/>
      <c r="C66" s="163">
        <f t="shared" ref="C66:I69" si="48">C50+C44+C38+C56+C62</f>
        <v>29481382.8224</v>
      </c>
      <c r="D66" s="163">
        <f t="shared" si="48"/>
        <v>28123825.631366003</v>
      </c>
      <c r="E66" s="163">
        <f t="shared" si="48"/>
        <v>26766268.440332003</v>
      </c>
      <c r="F66" s="163">
        <f t="shared" si="48"/>
        <v>25408711.249298003</v>
      </c>
      <c r="G66" s="163">
        <f t="shared" si="48"/>
        <v>24051154.058264006</v>
      </c>
      <c r="H66" s="163">
        <f t="shared" si="48"/>
        <v>22693596.867230006</v>
      </c>
      <c r="I66" s="163">
        <f t="shared" si="48"/>
        <v>21336039.676196001</v>
      </c>
      <c r="J66" s="93"/>
      <c r="K66" s="163">
        <f t="shared" ref="K66:Q69" si="49">K50+K44+K38+K56+K62</f>
        <v>29481382.8224</v>
      </c>
      <c r="L66" s="163">
        <f t="shared" si="49"/>
        <v>25791490.689440001</v>
      </c>
      <c r="M66" s="163">
        <f t="shared" si="49"/>
        <v>22621026.797564</v>
      </c>
      <c r="N66" s="163">
        <f t="shared" si="49"/>
        <v>19879812.088423401</v>
      </c>
      <c r="O66" s="163">
        <f t="shared" si="49"/>
        <v>17498688.996669289</v>
      </c>
      <c r="P66" s="163">
        <f t="shared" si="49"/>
        <v>15423111.501766235</v>
      </c>
      <c r="Q66" s="163">
        <f t="shared" si="49"/>
        <v>13609025.248782234</v>
      </c>
    </row>
    <row r="67" spans="1:17" x14ac:dyDescent="0.2">
      <c r="A67" s="160" t="s">
        <v>202</v>
      </c>
      <c r="B67" s="160"/>
      <c r="C67" s="163">
        <f t="shared" si="48"/>
        <v>1357557.1910339999</v>
      </c>
      <c r="D67" s="163">
        <f t="shared" si="48"/>
        <v>1357557.1910339999</v>
      </c>
      <c r="E67" s="163">
        <f t="shared" si="48"/>
        <v>1357557.1910339999</v>
      </c>
      <c r="F67" s="163">
        <f t="shared" si="48"/>
        <v>1357557.1910339999</v>
      </c>
      <c r="G67" s="163">
        <f t="shared" si="48"/>
        <v>1357557.1910339999</v>
      </c>
      <c r="H67" s="163">
        <f t="shared" si="48"/>
        <v>1357557.1910339999</v>
      </c>
      <c r="I67" s="163">
        <f t="shared" si="48"/>
        <v>1357557.1910339999</v>
      </c>
      <c r="J67" s="93"/>
      <c r="K67" s="163">
        <f t="shared" si="49"/>
        <v>3689892.1329600001</v>
      </c>
      <c r="L67" s="163">
        <f t="shared" si="49"/>
        <v>3170463.891876</v>
      </c>
      <c r="M67" s="163">
        <f t="shared" si="49"/>
        <v>2741214.7091405997</v>
      </c>
      <c r="N67" s="163">
        <f t="shared" si="49"/>
        <v>2381123.0917541101</v>
      </c>
      <c r="O67" s="163">
        <f t="shared" si="49"/>
        <v>2075577.4949030536</v>
      </c>
      <c r="P67" s="163">
        <f t="shared" si="49"/>
        <v>1814086.2529840015</v>
      </c>
      <c r="Q67" s="163">
        <f t="shared" si="49"/>
        <v>1588865.0403784979</v>
      </c>
    </row>
    <row r="68" spans="1:17" x14ac:dyDescent="0.2">
      <c r="A68" s="160" t="s">
        <v>203</v>
      </c>
      <c r="B68" s="160"/>
      <c r="C68" s="163">
        <f t="shared" si="48"/>
        <v>1357557.1910339999</v>
      </c>
      <c r="D68" s="163">
        <f t="shared" si="48"/>
        <v>2715114.3820679998</v>
      </c>
      <c r="E68" s="163">
        <f t="shared" si="48"/>
        <v>4072671.5731020002</v>
      </c>
      <c r="F68" s="163">
        <f t="shared" si="48"/>
        <v>5430228.7641359996</v>
      </c>
      <c r="G68" s="163">
        <f t="shared" si="48"/>
        <v>6787785.95517</v>
      </c>
      <c r="H68" s="163">
        <f t="shared" si="48"/>
        <v>8145343.1462040003</v>
      </c>
      <c r="I68" s="163">
        <f t="shared" si="48"/>
        <v>9502900.3372380007</v>
      </c>
      <c r="J68" s="93"/>
      <c r="K68" s="163">
        <f t="shared" si="49"/>
        <v>3689892.1329600001</v>
      </c>
      <c r="L68" s="163">
        <f t="shared" si="49"/>
        <v>6860356.0248360001</v>
      </c>
      <c r="M68" s="163">
        <f t="shared" si="49"/>
        <v>9601570.7339766007</v>
      </c>
      <c r="N68" s="163">
        <f t="shared" si="49"/>
        <v>11982693.825730711</v>
      </c>
      <c r="O68" s="163">
        <f t="shared" si="49"/>
        <v>14058271.320633765</v>
      </c>
      <c r="P68" s="163">
        <f t="shared" si="49"/>
        <v>15872357.573617766</v>
      </c>
      <c r="Q68" s="163">
        <f t="shared" si="49"/>
        <v>17461222.61399626</v>
      </c>
    </row>
    <row r="69" spans="1:17" x14ac:dyDescent="0.2">
      <c r="A69" s="160" t="s">
        <v>197</v>
      </c>
      <c r="B69" s="160"/>
      <c r="C69" s="163">
        <f t="shared" si="48"/>
        <v>28123825.631366003</v>
      </c>
      <c r="D69" s="163">
        <f t="shared" si="48"/>
        <v>26766268.440332003</v>
      </c>
      <c r="E69" s="163">
        <f t="shared" si="48"/>
        <v>25408711.249298003</v>
      </c>
      <c r="F69" s="163">
        <f t="shared" si="48"/>
        <v>24051154.058264006</v>
      </c>
      <c r="G69" s="163">
        <f t="shared" si="48"/>
        <v>22693596.867230006</v>
      </c>
      <c r="H69" s="163">
        <f t="shared" si="48"/>
        <v>21336039.676196001</v>
      </c>
      <c r="I69" s="163">
        <f t="shared" si="48"/>
        <v>19978482.485162005</v>
      </c>
      <c r="J69" s="93"/>
      <c r="K69" s="163">
        <f t="shared" si="49"/>
        <v>25791490.689440001</v>
      </c>
      <c r="L69" s="163">
        <f t="shared" si="49"/>
        <v>22621026.797564</v>
      </c>
      <c r="M69" s="163">
        <f t="shared" si="49"/>
        <v>19879812.088423401</v>
      </c>
      <c r="N69" s="163">
        <f t="shared" si="49"/>
        <v>17498688.996669289</v>
      </c>
      <c r="O69" s="163">
        <f t="shared" si="49"/>
        <v>15423111.501766235</v>
      </c>
      <c r="P69" s="163">
        <f t="shared" si="49"/>
        <v>13609025.248782234</v>
      </c>
      <c r="Q69" s="163">
        <f t="shared" si="49"/>
        <v>12020160.208403736</v>
      </c>
    </row>
    <row r="70" spans="1:17" x14ac:dyDescent="0.2">
      <c r="A70" s="164"/>
      <c r="B70" s="164"/>
      <c r="C70" s="165"/>
      <c r="D70" s="165"/>
      <c r="E70" s="165"/>
      <c r="F70" s="165"/>
      <c r="G70" s="165"/>
      <c r="H70" s="165"/>
      <c r="I70" s="165"/>
    </row>
    <row r="72" spans="1:17" ht="38.25" x14ac:dyDescent="0.2">
      <c r="A72" s="166" t="s">
        <v>204</v>
      </c>
      <c r="B72" s="167" t="s">
        <v>678</v>
      </c>
      <c r="C72" s="167" t="s">
        <v>679</v>
      </c>
    </row>
    <row r="73" spans="1:17" ht="25.5" x14ac:dyDescent="0.2">
      <c r="A73" s="167" t="s">
        <v>205</v>
      </c>
      <c r="B73" s="168" t="s">
        <v>206</v>
      </c>
      <c r="C73" s="169" t="s">
        <v>207</v>
      </c>
    </row>
    <row r="74" spans="1:17" x14ac:dyDescent="0.2">
      <c r="A74" s="167" t="s">
        <v>148</v>
      </c>
      <c r="B74" s="150">
        <v>0</v>
      </c>
      <c r="C74" s="150">
        <v>0</v>
      </c>
    </row>
    <row r="75" spans="1:17" x14ac:dyDescent="0.2">
      <c r="A75" s="170" t="s">
        <v>198</v>
      </c>
      <c r="B75" s="150">
        <v>3.1699999999999999E-2</v>
      </c>
      <c r="C75" s="150">
        <v>0.1</v>
      </c>
      <c r="D75" s="138"/>
    </row>
    <row r="76" spans="1:17" x14ac:dyDescent="0.2">
      <c r="A76" s="170" t="s">
        <v>200</v>
      </c>
      <c r="B76" s="171">
        <v>0.1</v>
      </c>
      <c r="C76" s="150">
        <v>0.1</v>
      </c>
    </row>
    <row r="77" spans="1:17" x14ac:dyDescent="0.2">
      <c r="A77" s="92" t="s">
        <v>208</v>
      </c>
      <c r="B77" s="171">
        <v>0.1</v>
      </c>
      <c r="C77" s="172">
        <v>0.4</v>
      </c>
    </row>
    <row r="78" spans="1:17" x14ac:dyDescent="0.2">
      <c r="A78" s="92" t="s">
        <v>273</v>
      </c>
      <c r="B78" s="171">
        <v>0.1188</v>
      </c>
      <c r="C78" s="172">
        <v>0.15</v>
      </c>
    </row>
    <row r="79" spans="1:17" x14ac:dyDescent="0.2">
      <c r="A79" s="170" t="s">
        <v>209</v>
      </c>
      <c r="B79" s="171">
        <v>6.3299999999999995E-2</v>
      </c>
      <c r="C79" s="172">
        <v>0.15</v>
      </c>
    </row>
    <row r="80" spans="1:17" ht="25.5" x14ac:dyDescent="0.2">
      <c r="A80" s="167" t="s">
        <v>204</v>
      </c>
      <c r="B80" s="150"/>
      <c r="C80" s="138"/>
    </row>
    <row r="81" spans="1:12" x14ac:dyDescent="0.2">
      <c r="A81" s="170" t="s">
        <v>210</v>
      </c>
      <c r="B81" s="138">
        <v>0.2</v>
      </c>
      <c r="C81" s="138">
        <v>0.2</v>
      </c>
    </row>
    <row r="83" spans="1:12" x14ac:dyDescent="0.2">
      <c r="E83" s="173"/>
    </row>
    <row r="84" spans="1:12" s="174" customFormat="1" ht="18.75" x14ac:dyDescent="0.25">
      <c r="A84" s="427" t="s">
        <v>548</v>
      </c>
      <c r="B84" s="427"/>
      <c r="C84" s="427"/>
      <c r="D84" s="427"/>
      <c r="E84" s="427"/>
      <c r="F84" s="427"/>
      <c r="G84" s="427"/>
      <c r="H84" s="427"/>
      <c r="I84" s="427"/>
      <c r="J84" s="427"/>
    </row>
    <row r="85" spans="1:12" s="174" customFormat="1" x14ac:dyDescent="0.2">
      <c r="A85" s="175"/>
      <c r="B85" s="175"/>
    </row>
    <row r="86" spans="1:12" s="174" customFormat="1" x14ac:dyDescent="0.2">
      <c r="A86" s="176" t="s">
        <v>0</v>
      </c>
      <c r="B86" s="177" t="s">
        <v>332</v>
      </c>
      <c r="C86" s="178" t="s">
        <v>2</v>
      </c>
      <c r="D86" s="178" t="s">
        <v>3</v>
      </c>
      <c r="E86" s="178" t="s">
        <v>4</v>
      </c>
      <c r="F86" s="178" t="s">
        <v>5</v>
      </c>
      <c r="G86" s="178" t="s">
        <v>6</v>
      </c>
      <c r="H86" s="178" t="s">
        <v>168</v>
      </c>
      <c r="I86" s="178" t="s">
        <v>167</v>
      </c>
      <c r="J86" s="179"/>
      <c r="K86" s="179"/>
      <c r="L86" s="179"/>
    </row>
    <row r="87" spans="1:12" s="174" customFormat="1" x14ac:dyDescent="0.2">
      <c r="A87" s="180" t="s">
        <v>251</v>
      </c>
      <c r="B87" s="181">
        <v>5</v>
      </c>
      <c r="C87" s="182">
        <f>'1.Project Cost and MOF'!$D$10/5</f>
        <v>82310</v>
      </c>
      <c r="D87" s="182">
        <f>'1.Project Cost and MOF'!$D$10/5</f>
        <v>82310</v>
      </c>
      <c r="E87" s="182">
        <f>'1.Project Cost and MOF'!$D$10/5</f>
        <v>82310</v>
      </c>
      <c r="F87" s="182">
        <f>'1.Project Cost and MOF'!$D$10/5</f>
        <v>82310</v>
      </c>
      <c r="G87" s="182">
        <f>'1.Project Cost and MOF'!$D$10/5</f>
        <v>82310</v>
      </c>
      <c r="H87" s="182">
        <v>0</v>
      </c>
      <c r="I87" s="182">
        <v>0</v>
      </c>
      <c r="J87" s="179"/>
      <c r="K87" s="179"/>
      <c r="L87" s="179"/>
    </row>
    <row r="88" spans="1:12" s="174" customFormat="1" x14ac:dyDescent="0.2">
      <c r="A88" s="183" t="s">
        <v>333</v>
      </c>
      <c r="B88" s="184"/>
      <c r="C88" s="163">
        <f t="shared" ref="C88:I88" si="50">SUM(C86:C87)</f>
        <v>82310</v>
      </c>
      <c r="D88" s="163">
        <f t="shared" si="50"/>
        <v>82310</v>
      </c>
      <c r="E88" s="163">
        <f t="shared" si="50"/>
        <v>82310</v>
      </c>
      <c r="F88" s="163">
        <f t="shared" si="50"/>
        <v>82310</v>
      </c>
      <c r="G88" s="163">
        <f t="shared" si="50"/>
        <v>82310</v>
      </c>
      <c r="H88" s="163">
        <f t="shared" si="50"/>
        <v>0</v>
      </c>
      <c r="I88" s="163">
        <f t="shared" si="50"/>
        <v>0</v>
      </c>
      <c r="J88" s="185"/>
      <c r="K88" s="185"/>
      <c r="L88" s="185"/>
    </row>
    <row r="89" spans="1:12" s="174" customFormat="1" x14ac:dyDescent="0.2">
      <c r="C89" s="179"/>
      <c r="D89" s="179"/>
      <c r="E89" s="179"/>
      <c r="F89" s="179"/>
      <c r="G89" s="179"/>
      <c r="H89" s="179"/>
      <c r="I89" s="179"/>
      <c r="J89" s="179"/>
      <c r="K89" s="179"/>
      <c r="L89" s="179"/>
    </row>
    <row r="92" spans="1:12" x14ac:dyDescent="0.2">
      <c r="A92" s="186"/>
      <c r="B92" s="174"/>
      <c r="C92" s="174"/>
      <c r="D92" s="174"/>
      <c r="E92" s="174"/>
      <c r="F92" s="174"/>
      <c r="G92" s="174"/>
      <c r="H92" s="174"/>
      <c r="I92" s="174"/>
      <c r="J92" s="174"/>
      <c r="K92" s="174"/>
    </row>
    <row r="93" spans="1:12" ht="18.75" x14ac:dyDescent="0.25">
      <c r="A93" s="436" t="s">
        <v>549</v>
      </c>
      <c r="B93" s="436"/>
      <c r="C93" s="436"/>
      <c r="D93" s="436"/>
      <c r="E93" s="436"/>
      <c r="F93" s="436"/>
      <c r="G93" s="436"/>
      <c r="H93" s="436"/>
      <c r="I93" s="187"/>
      <c r="J93" s="187"/>
      <c r="K93" s="187"/>
    </row>
    <row r="94" spans="1:12" x14ac:dyDescent="0.2">
      <c r="A94" s="175"/>
      <c r="B94" s="174"/>
      <c r="C94" s="174"/>
      <c r="D94" s="174"/>
      <c r="E94" s="174"/>
      <c r="F94" s="174"/>
      <c r="G94" s="174"/>
      <c r="H94" s="174"/>
      <c r="I94" s="174"/>
      <c r="J94" s="174"/>
      <c r="K94" s="174"/>
    </row>
    <row r="95" spans="1:12" x14ac:dyDescent="0.2">
      <c r="A95" s="126" t="s">
        <v>0</v>
      </c>
      <c r="B95" s="127" t="s">
        <v>2</v>
      </c>
      <c r="C95" s="127" t="s">
        <v>3</v>
      </c>
      <c r="D95" s="127" t="s">
        <v>4</v>
      </c>
      <c r="E95" s="127" t="s">
        <v>5</v>
      </c>
      <c r="F95" s="127" t="s">
        <v>6</v>
      </c>
      <c r="G95" s="127" t="s">
        <v>168</v>
      </c>
      <c r="H95" s="127" t="s">
        <v>167</v>
      </c>
      <c r="I95" s="188"/>
      <c r="J95" s="188"/>
      <c r="K95" s="188"/>
    </row>
    <row r="96" spans="1:12" x14ac:dyDescent="0.2">
      <c r="A96" s="189" t="s">
        <v>223</v>
      </c>
      <c r="B96" s="190">
        <f>'6.Cons Profit &amp; Loss'!B49</f>
        <v>2312049.6536333025</v>
      </c>
      <c r="C96" s="190">
        <f>'6.Cons Profit &amp; Loss'!C49</f>
        <v>3716012.366836518</v>
      </c>
      <c r="D96" s="190">
        <f>'6.Cons Profit &amp; Loss'!D49</f>
        <v>5202713.1207712814</v>
      </c>
      <c r="E96" s="190">
        <f>'6.Cons Profit &amp; Loss'!E49</f>
        <v>6828738.4757184964</v>
      </c>
      <c r="F96" s="190">
        <f>'6.Cons Profit &amp; Loss'!F49</f>
        <v>8605574.4600787107</v>
      </c>
      <c r="G96" s="190">
        <f>'6.Cons Profit &amp; Loss'!G49</f>
        <v>10480737.66196931</v>
      </c>
      <c r="H96" s="190">
        <f>'6.Cons Profit &amp; Loss'!H49</f>
        <v>12250583.101421323</v>
      </c>
      <c r="I96" s="191"/>
      <c r="J96" s="191"/>
      <c r="K96" s="191"/>
    </row>
    <row r="97" spans="1:11" x14ac:dyDescent="0.2">
      <c r="A97" s="189" t="s">
        <v>224</v>
      </c>
      <c r="B97" s="190">
        <f>'6.Cons Profit &amp; Loss'!B42</f>
        <v>1357557.1910339999</v>
      </c>
      <c r="C97" s="190">
        <f>'6.Cons Profit &amp; Loss'!C42</f>
        <v>1357557.1910339999</v>
      </c>
      <c r="D97" s="190">
        <f>'6.Cons Profit &amp; Loss'!D42</f>
        <v>1357557.1910339999</v>
      </c>
      <c r="E97" s="190">
        <f>'6.Cons Profit &amp; Loss'!E42</f>
        <v>1357557.1910339999</v>
      </c>
      <c r="F97" s="190">
        <f>'6.Cons Profit &amp; Loss'!F42</f>
        <v>1357557.1910339999</v>
      </c>
      <c r="G97" s="190">
        <f>'6.Cons Profit &amp; Loss'!G42</f>
        <v>1357557.1910339999</v>
      </c>
      <c r="H97" s="190">
        <f>'6.Cons Profit &amp; Loss'!H42</f>
        <v>1357557.1910339999</v>
      </c>
      <c r="I97" s="191"/>
      <c r="J97" s="191"/>
      <c r="K97" s="191"/>
    </row>
    <row r="98" spans="1:11" x14ac:dyDescent="0.2">
      <c r="A98" s="189" t="s">
        <v>225</v>
      </c>
      <c r="B98" s="190">
        <f>'3.Other Exp &amp; Taxes'!K67</f>
        <v>3689892.1329600001</v>
      </c>
      <c r="C98" s="190">
        <f>'3.Other Exp &amp; Taxes'!L67</f>
        <v>3170463.891876</v>
      </c>
      <c r="D98" s="190">
        <f>'3.Other Exp &amp; Taxes'!M67</f>
        <v>2741214.7091405997</v>
      </c>
      <c r="E98" s="190">
        <f>'3.Other Exp &amp; Taxes'!N67</f>
        <v>2381123.0917541101</v>
      </c>
      <c r="F98" s="190">
        <f>'3.Other Exp &amp; Taxes'!O67</f>
        <v>2075577.4949030536</v>
      </c>
      <c r="G98" s="190">
        <f>'3.Other Exp &amp; Taxes'!P67</f>
        <v>1814086.2529840015</v>
      </c>
      <c r="H98" s="190">
        <f>'3.Other Exp &amp; Taxes'!Q67</f>
        <v>1588865.0403784979</v>
      </c>
      <c r="I98" s="191"/>
      <c r="J98" s="191"/>
      <c r="K98" s="191"/>
    </row>
    <row r="99" spans="1:11" x14ac:dyDescent="0.2">
      <c r="A99" s="189" t="s">
        <v>286</v>
      </c>
      <c r="B99" s="190">
        <f t="shared" ref="B99:H99" si="51">B96+B97-B98</f>
        <v>-20285.288292697631</v>
      </c>
      <c r="C99" s="190">
        <f>C96+C97-C98+B99</f>
        <v>1882820.3777018208</v>
      </c>
      <c r="D99" s="190">
        <f t="shared" si="51"/>
        <v>3819055.6026646821</v>
      </c>
      <c r="E99" s="190">
        <f t="shared" si="51"/>
        <v>5805172.5749983862</v>
      </c>
      <c r="F99" s="190">
        <f t="shared" si="51"/>
        <v>7887554.156209657</v>
      </c>
      <c r="G99" s="190">
        <f t="shared" si="51"/>
        <v>10024208.600019308</v>
      </c>
      <c r="H99" s="190">
        <f t="shared" si="51"/>
        <v>12019275.252076825</v>
      </c>
      <c r="I99" s="191"/>
      <c r="J99" s="191"/>
      <c r="K99" s="191"/>
    </row>
    <row r="100" spans="1:11" x14ac:dyDescent="0.2">
      <c r="A100" s="192" t="s">
        <v>226</v>
      </c>
      <c r="B100" s="193" t="str">
        <f>IF(B99&gt;0,B99*$B$103,"0")</f>
        <v>0</v>
      </c>
      <c r="C100" s="193">
        <f>IF(C99&gt;0,C99*$B$103,"0")</f>
        <v>489533.29820247344</v>
      </c>
      <c r="D100" s="193">
        <f t="shared" ref="D100:H100" si="52">IF(D99&gt;0,D99*$B$103,"0")</f>
        <v>992954.45669281739</v>
      </c>
      <c r="E100" s="193">
        <f t="shared" si="52"/>
        <v>1509344.8694995805</v>
      </c>
      <c r="F100" s="193">
        <f t="shared" si="52"/>
        <v>2050764.0806145109</v>
      </c>
      <c r="G100" s="193">
        <f t="shared" si="52"/>
        <v>2606294.2360050203</v>
      </c>
      <c r="H100" s="193">
        <f t="shared" si="52"/>
        <v>3125011.5655399747</v>
      </c>
      <c r="I100" s="191"/>
      <c r="J100" s="191"/>
      <c r="K100" s="191"/>
    </row>
    <row r="101" spans="1:11" x14ac:dyDescent="0.2">
      <c r="A101" s="194"/>
      <c r="B101" s="174"/>
      <c r="C101" s="174"/>
      <c r="D101" s="174"/>
      <c r="E101" s="174"/>
      <c r="F101" s="174"/>
      <c r="G101" s="174"/>
      <c r="H101" s="174"/>
      <c r="I101" s="174"/>
      <c r="J101" s="174"/>
      <c r="K101" s="174"/>
    </row>
    <row r="102" spans="1:11" x14ac:dyDescent="0.2">
      <c r="A102" s="194"/>
      <c r="B102" s="179"/>
      <c r="C102" s="179"/>
      <c r="D102" s="179"/>
      <c r="E102" s="179"/>
      <c r="F102" s="179"/>
      <c r="G102" s="179"/>
      <c r="H102" s="179"/>
      <c r="I102" s="179"/>
      <c r="J102" s="179"/>
      <c r="K102" s="179"/>
    </row>
    <row r="103" spans="1:11" x14ac:dyDescent="0.2">
      <c r="A103" s="195" t="s">
        <v>380</v>
      </c>
      <c r="B103" s="196">
        <v>0.26</v>
      </c>
      <c r="C103" s="179"/>
      <c r="D103" s="179"/>
      <c r="E103" s="179"/>
      <c r="F103" s="179"/>
      <c r="G103" s="179"/>
      <c r="H103" s="179"/>
      <c r="I103" s="179"/>
      <c r="J103" s="179"/>
      <c r="K103" s="179"/>
    </row>
    <row r="104" spans="1:11" x14ac:dyDescent="0.2">
      <c r="A104" s="174"/>
      <c r="B104" s="174"/>
      <c r="C104" s="174"/>
      <c r="D104" s="174"/>
      <c r="E104" s="174"/>
      <c r="F104" s="174"/>
      <c r="G104" s="174"/>
      <c r="H104" s="174"/>
      <c r="I104" s="174"/>
      <c r="J104" s="174"/>
      <c r="K104" s="174"/>
    </row>
    <row r="105" spans="1:11" ht="29.1" customHeight="1" x14ac:dyDescent="0.2">
      <c r="A105" s="437" t="s">
        <v>411</v>
      </c>
      <c r="B105" s="437"/>
      <c r="C105" s="437"/>
      <c r="D105" s="437"/>
      <c r="E105" s="437"/>
      <c r="F105" s="437"/>
      <c r="G105" s="437"/>
      <c r="H105" s="437"/>
      <c r="I105" s="165"/>
      <c r="J105" s="165"/>
      <c r="K105" s="165"/>
    </row>
  </sheetData>
  <mergeCells count="8">
    <mergeCell ref="A84:J84"/>
    <mergeCell ref="A93:H93"/>
    <mergeCell ref="A105:H105"/>
    <mergeCell ref="A2:K2"/>
    <mergeCell ref="A29:O29"/>
    <mergeCell ref="C32:I32"/>
    <mergeCell ref="K32:Q32"/>
    <mergeCell ref="A30:Q30"/>
  </mergeCells>
  <pageMargins left="0.7" right="0.7" top="0.75" bottom="0.75" header="0.3" footer="0.3"/>
  <pageSetup paperSize="9" scale="5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58:M89"/>
  <sheetViews>
    <sheetView topLeftCell="A68" workbookViewId="0">
      <selection activeCell="B58" sqref="B58:G81"/>
    </sheetView>
  </sheetViews>
  <sheetFormatPr defaultRowHeight="15" x14ac:dyDescent="0.2"/>
  <cols>
    <col min="3" max="3" width="43.8515625" bestFit="1" customWidth="1"/>
    <col min="5" max="6" width="14.125" bestFit="1" customWidth="1"/>
    <col min="7" max="7" width="11.43359375" bestFit="1" customWidth="1"/>
    <col min="11" max="11" width="6.859375" bestFit="1" customWidth="1"/>
    <col min="12" max="12" width="50.578125" bestFit="1" customWidth="1"/>
    <col min="13" max="13" width="29.86328125" bestFit="1" customWidth="1"/>
  </cols>
  <sheetData>
    <row r="58" spans="2:13" ht="15.75" thickBot="1" x14ac:dyDescent="0.25">
      <c r="B58" s="67" t="s">
        <v>145</v>
      </c>
      <c r="C58" s="67" t="s">
        <v>0</v>
      </c>
      <c r="D58" s="67" t="s">
        <v>132</v>
      </c>
      <c r="E58" s="67" t="s">
        <v>717</v>
      </c>
      <c r="F58" s="67" t="s">
        <v>718</v>
      </c>
      <c r="G58" s="67" t="s">
        <v>745</v>
      </c>
    </row>
    <row r="59" spans="2:13" ht="15.75" thickBot="1" x14ac:dyDescent="0.25">
      <c r="B59" s="4" t="s">
        <v>172</v>
      </c>
      <c r="C59" s="4" t="s">
        <v>719</v>
      </c>
      <c r="D59" s="4"/>
      <c r="E59" s="4"/>
      <c r="F59" s="4"/>
      <c r="G59" s="4"/>
      <c r="K59" s="108" t="s">
        <v>145</v>
      </c>
      <c r="L59" s="109" t="s">
        <v>0</v>
      </c>
      <c r="M59" s="109" t="s">
        <v>757</v>
      </c>
    </row>
    <row r="60" spans="2:13" ht="15.75" thickBot="1" x14ac:dyDescent="0.25">
      <c r="B60" s="4">
        <v>1</v>
      </c>
      <c r="C60" s="4">
        <f>'2.Capex Details'!C24</f>
        <v>0</v>
      </c>
      <c r="D60" s="4">
        <v>1</v>
      </c>
      <c r="E60" s="11"/>
      <c r="F60" s="11"/>
      <c r="G60" s="407">
        <f>F61/$F$81</f>
        <v>0</v>
      </c>
      <c r="K60" s="113" t="s">
        <v>172</v>
      </c>
      <c r="L60" s="114" t="s">
        <v>719</v>
      </c>
      <c r="M60" s="110"/>
    </row>
    <row r="61" spans="2:13" ht="15.75" thickBot="1" x14ac:dyDescent="0.25">
      <c r="B61" s="440" t="s">
        <v>170</v>
      </c>
      <c r="C61" s="440"/>
      <c r="D61" s="440"/>
      <c r="E61" s="440"/>
      <c r="F61" s="11">
        <f>SUM(F60:F60)</f>
        <v>0</v>
      </c>
      <c r="G61" s="107"/>
      <c r="K61" s="111"/>
      <c r="L61" s="110"/>
      <c r="M61" s="112"/>
    </row>
    <row r="62" spans="2:13" ht="15.75" thickBot="1" x14ac:dyDescent="0.25">
      <c r="B62" s="4" t="s">
        <v>720</v>
      </c>
      <c r="C62" s="4" t="s">
        <v>721</v>
      </c>
      <c r="D62" s="4"/>
      <c r="E62" s="4"/>
      <c r="F62" s="4"/>
      <c r="G62" s="106"/>
      <c r="K62" s="111"/>
      <c r="L62" s="110"/>
      <c r="M62" s="112"/>
    </row>
    <row r="63" spans="2:13" ht="15.75" thickBot="1" x14ac:dyDescent="0.25">
      <c r="B63" s="4">
        <v>1</v>
      </c>
      <c r="C63" s="4" t="str">
        <f>'2.Capex Details'!C6</f>
        <v>Construction of Syrup Production Unit</v>
      </c>
      <c r="D63" s="4">
        <v>1</v>
      </c>
      <c r="E63" s="11">
        <f>'2.Capex Details'!G6</f>
        <v>5891806</v>
      </c>
      <c r="F63" s="11">
        <f>D63*E63</f>
        <v>5891806</v>
      </c>
      <c r="G63" s="442">
        <f>F75/$F$81</f>
        <v>0.96015325731079049</v>
      </c>
      <c r="K63" s="111"/>
      <c r="L63" s="110"/>
      <c r="M63" s="112"/>
    </row>
    <row r="64" spans="2:13" ht="15.75" thickBot="1" x14ac:dyDescent="0.25">
      <c r="B64" s="4"/>
      <c r="C64" s="4" t="str">
        <f>'2.Capex Details'!C7</f>
        <v>Construction of Wine Production Unit</v>
      </c>
      <c r="D64" s="4">
        <v>1</v>
      </c>
      <c r="E64" s="11">
        <f>'2.Capex Details'!G7</f>
        <v>4657486</v>
      </c>
      <c r="F64" s="11">
        <f>D64*E64</f>
        <v>4657486</v>
      </c>
      <c r="G64" s="443"/>
      <c r="K64" s="111"/>
      <c r="L64" s="110"/>
      <c r="M64" s="112"/>
    </row>
    <row r="65" spans="2:13" ht="15.75" thickBot="1" x14ac:dyDescent="0.25">
      <c r="B65" s="4">
        <v>2</v>
      </c>
      <c r="C65" s="408" t="str">
        <f>'2.Capex Details'!C8</f>
        <v>Construction of Godown</v>
      </c>
      <c r="D65" s="4">
        <v>1</v>
      </c>
      <c r="E65" s="11">
        <f>'2.Capex Details'!G8</f>
        <v>5413552.8200000003</v>
      </c>
      <c r="F65" s="11">
        <f>D65*E65</f>
        <v>5413552.8200000003</v>
      </c>
      <c r="G65" s="443"/>
      <c r="K65" s="111"/>
      <c r="L65" s="110"/>
      <c r="M65" s="112"/>
    </row>
    <row r="66" spans="2:13" ht="15.75" thickBot="1" x14ac:dyDescent="0.25">
      <c r="B66" s="4">
        <v>3</v>
      </c>
      <c r="C66" s="4" t="str">
        <f>'2.Capex Details'!C9</f>
        <v>Electrical fitting</v>
      </c>
      <c r="D66" s="4">
        <v>1</v>
      </c>
      <c r="E66" s="11">
        <f>'2.Capex Details'!G9</f>
        <v>218280</v>
      </c>
      <c r="F66" s="11">
        <f t="shared" ref="F66:F74" si="0">D66*E66</f>
        <v>218280</v>
      </c>
      <c r="G66" s="443"/>
      <c r="K66" s="111"/>
      <c r="L66" s="110"/>
      <c r="M66" s="112"/>
    </row>
    <row r="67" spans="2:13" ht="15.75" thickBot="1" x14ac:dyDescent="0.25">
      <c r="B67" s="4">
        <v>4</v>
      </c>
      <c r="C67" s="4" t="str">
        <f>'2.Capex Details'!C10</f>
        <v>Electrical Wire &amp; Accessoeries</v>
      </c>
      <c r="D67" s="4">
        <v>1</v>
      </c>
      <c r="E67" s="11">
        <f>'2.Capex Details'!G10</f>
        <v>474341</v>
      </c>
      <c r="F67" s="11">
        <f t="shared" si="0"/>
        <v>474341</v>
      </c>
      <c r="G67" s="443"/>
      <c r="K67" s="111"/>
      <c r="L67" s="110"/>
      <c r="M67" s="112"/>
    </row>
    <row r="68" spans="2:13" ht="15.75" thickBot="1" x14ac:dyDescent="0.25">
      <c r="B68" s="4">
        <v>5</v>
      </c>
      <c r="C68" s="4" t="str">
        <f>'2.Capex Details'!C11</f>
        <v>Plumbing</v>
      </c>
      <c r="D68" s="4">
        <v>1</v>
      </c>
      <c r="E68" s="11">
        <f>'2.Capex Details'!G11</f>
        <v>345330</v>
      </c>
      <c r="F68" s="11">
        <f t="shared" si="0"/>
        <v>345330</v>
      </c>
      <c r="G68" s="443"/>
      <c r="K68" s="111"/>
      <c r="L68" s="110"/>
      <c r="M68" s="112"/>
    </row>
    <row r="69" spans="2:13" ht="15.75" thickBot="1" x14ac:dyDescent="0.25">
      <c r="B69" s="4">
        <v>6</v>
      </c>
      <c r="C69" s="4" t="str">
        <f>'2.Capex Details'!C39</f>
        <v>Winary Project</v>
      </c>
      <c r="D69" s="4">
        <v>1</v>
      </c>
      <c r="E69" s="11">
        <f>'2.Capex Details'!G50</f>
        <v>3230132</v>
      </c>
      <c r="F69" s="11">
        <f t="shared" si="0"/>
        <v>3230132</v>
      </c>
      <c r="G69" s="443"/>
      <c r="K69" s="111"/>
      <c r="L69" s="110"/>
      <c r="M69" s="112"/>
    </row>
    <row r="70" spans="2:13" ht="15.75" thickBot="1" x14ac:dyDescent="0.25">
      <c r="B70" s="4">
        <v>7</v>
      </c>
      <c r="C70" s="4" t="str">
        <f>'2.Capex Details'!C52</f>
        <v>Fruit Processing Machine</v>
      </c>
      <c r="D70" s="4">
        <v>1</v>
      </c>
      <c r="E70" s="11">
        <f>'2.Capex Details'!G68</f>
        <v>6254000</v>
      </c>
      <c r="F70" s="11">
        <f t="shared" si="0"/>
        <v>6254000</v>
      </c>
      <c r="G70" s="443"/>
      <c r="K70" s="111"/>
      <c r="L70" s="110"/>
      <c r="M70" s="112"/>
    </row>
    <row r="71" spans="2:13" ht="15.75" thickBot="1" x14ac:dyDescent="0.25">
      <c r="B71" s="4">
        <v>8</v>
      </c>
      <c r="C71" s="4" t="str">
        <f>'2.Capex Details'!C70</f>
        <v>Solar System</v>
      </c>
      <c r="D71" s="4">
        <v>1</v>
      </c>
      <c r="E71" s="11">
        <f>'2.Capex Details'!G73</f>
        <v>649600</v>
      </c>
      <c r="F71" s="11">
        <f t="shared" si="0"/>
        <v>649600</v>
      </c>
      <c r="G71" s="443"/>
      <c r="K71" s="111"/>
      <c r="L71" s="110"/>
      <c r="M71" s="112"/>
    </row>
    <row r="72" spans="2:13" ht="15.75" thickBot="1" x14ac:dyDescent="0.25">
      <c r="B72" s="4">
        <v>9</v>
      </c>
      <c r="C72" s="4" t="str">
        <f>'2.Capex Details'!C75</f>
        <v>Electricity Connection</v>
      </c>
      <c r="D72" s="4">
        <v>1</v>
      </c>
      <c r="E72" s="11">
        <f>'2.Capex Details'!G84</f>
        <v>804400</v>
      </c>
      <c r="F72" s="11">
        <f t="shared" si="0"/>
        <v>804400</v>
      </c>
      <c r="G72" s="443"/>
      <c r="K72" s="111"/>
      <c r="L72" s="110"/>
      <c r="M72" s="112"/>
    </row>
    <row r="73" spans="2:13" ht="15.75" thickBot="1" x14ac:dyDescent="0.25">
      <c r="B73" s="4">
        <v>10</v>
      </c>
      <c r="C73" s="4" t="str">
        <f>'2.Capex Details'!C85</f>
        <v>Creates</v>
      </c>
      <c r="D73" s="4">
        <v>1</v>
      </c>
      <c r="E73" s="11">
        <f>'2.Capex Details'!G92</f>
        <v>528050</v>
      </c>
      <c r="F73" s="11">
        <f t="shared" si="0"/>
        <v>528050</v>
      </c>
      <c r="G73" s="443"/>
      <c r="K73" s="111"/>
      <c r="L73" s="110"/>
      <c r="M73" s="112"/>
    </row>
    <row r="74" spans="2:13" ht="15.75" thickBot="1" x14ac:dyDescent="0.25">
      <c r="B74" s="4">
        <v>11</v>
      </c>
      <c r="C74" s="4" t="str">
        <f>'2.Capex Details'!C94</f>
        <v>Chillier &amp; Freezer</v>
      </c>
      <c r="D74" s="4">
        <v>1</v>
      </c>
      <c r="E74" s="11">
        <f>'2.Capex Details'!G100</f>
        <v>234819</v>
      </c>
      <c r="F74" s="11">
        <f t="shared" si="0"/>
        <v>234819</v>
      </c>
      <c r="G74" s="444"/>
      <c r="K74" s="111"/>
      <c r="L74" s="110"/>
      <c r="M74" s="112"/>
    </row>
    <row r="75" spans="2:13" ht="15.75" thickBot="1" x14ac:dyDescent="0.25">
      <c r="B75" s="440" t="s">
        <v>170</v>
      </c>
      <c r="C75" s="440"/>
      <c r="D75" s="440"/>
      <c r="E75" s="440"/>
      <c r="F75" s="11">
        <f>SUM(F63:F74)</f>
        <v>28701796.82</v>
      </c>
      <c r="G75" s="107"/>
      <c r="K75" s="111"/>
      <c r="L75" s="110"/>
      <c r="M75" s="112"/>
    </row>
    <row r="76" spans="2:13" ht="15.75" thickBot="1" x14ac:dyDescent="0.25">
      <c r="B76" s="4" t="s">
        <v>174</v>
      </c>
      <c r="C76" s="4" t="s">
        <v>722</v>
      </c>
      <c r="D76" s="4"/>
      <c r="E76" s="4"/>
      <c r="F76" s="4"/>
      <c r="G76" s="107"/>
      <c r="K76" s="111"/>
      <c r="L76" s="110"/>
      <c r="M76" s="112"/>
    </row>
    <row r="77" spans="2:13" ht="15.75" thickBot="1" x14ac:dyDescent="0.25">
      <c r="B77" s="4">
        <v>1</v>
      </c>
      <c r="C77" s="4" t="s">
        <v>323</v>
      </c>
      <c r="D77" s="4">
        <v>1</v>
      </c>
      <c r="E77" s="11">
        <f>'2.Capex Details'!F122</f>
        <v>257240</v>
      </c>
      <c r="F77" s="11">
        <f>D77*E77</f>
        <v>257240</v>
      </c>
      <c r="G77" s="441">
        <f>F80/$F$81</f>
        <v>3.9846742689209576E-2</v>
      </c>
      <c r="K77" s="111"/>
      <c r="L77" s="110"/>
      <c r="M77" s="112"/>
    </row>
    <row r="78" spans="2:13" ht="15.75" thickBot="1" x14ac:dyDescent="0.25">
      <c r="B78" s="4">
        <v>2</v>
      </c>
      <c r="C78" s="4" t="s">
        <v>723</v>
      </c>
      <c r="D78" s="4">
        <v>1</v>
      </c>
      <c r="E78" s="11">
        <f>'2.Capex Details'!F141</f>
        <v>522346.00240000006</v>
      </c>
      <c r="F78" s="11">
        <f t="shared" ref="F78:F79" si="1">D78*E78</f>
        <v>522346.00240000006</v>
      </c>
      <c r="G78" s="441"/>
      <c r="K78" s="111"/>
      <c r="L78" s="110"/>
      <c r="M78" s="112"/>
    </row>
    <row r="79" spans="2:13" ht="15.75" thickBot="1" x14ac:dyDescent="0.25">
      <c r="B79" s="4">
        <v>3</v>
      </c>
      <c r="C79" s="4" t="s">
        <v>724</v>
      </c>
      <c r="D79" s="4">
        <v>1</v>
      </c>
      <c r="E79" s="11">
        <f>'2.Capex Details'!D170</f>
        <v>411550</v>
      </c>
      <c r="F79" s="11">
        <f t="shared" si="1"/>
        <v>411550</v>
      </c>
      <c r="G79" s="441"/>
      <c r="K79" s="111">
        <v>11</v>
      </c>
      <c r="L79" s="110" t="s">
        <v>759</v>
      </c>
      <c r="M79" s="112" t="s">
        <v>758</v>
      </c>
    </row>
    <row r="80" spans="2:13" ht="15.75" thickBot="1" x14ac:dyDescent="0.25">
      <c r="B80" s="440" t="s">
        <v>170</v>
      </c>
      <c r="C80" s="440"/>
      <c r="D80" s="440"/>
      <c r="E80" s="440"/>
      <c r="F80" s="11">
        <f>SUM(F77:F79)</f>
        <v>1191136.0024000001</v>
      </c>
      <c r="G80" s="441"/>
      <c r="K80" s="113" t="s">
        <v>720</v>
      </c>
      <c r="L80" s="114" t="s">
        <v>760</v>
      </c>
      <c r="M80" s="115"/>
    </row>
    <row r="81" spans="2:13" ht="15.75" thickBot="1" x14ac:dyDescent="0.25">
      <c r="B81" s="440" t="s">
        <v>725</v>
      </c>
      <c r="C81" s="440"/>
      <c r="D81" s="4"/>
      <c r="E81" s="4"/>
      <c r="F81" s="11">
        <f>F80+F75+F61</f>
        <v>29892932.8224</v>
      </c>
      <c r="G81" s="409">
        <v>1</v>
      </c>
      <c r="K81" s="111">
        <v>1</v>
      </c>
      <c r="L81" s="110" t="str">
        <f>C63</f>
        <v>Construction of Syrup Production Unit</v>
      </c>
      <c r="M81" s="112" t="s">
        <v>762</v>
      </c>
    </row>
    <row r="82" spans="2:13" ht="15.75" thickBot="1" x14ac:dyDescent="0.25">
      <c r="B82" s="7"/>
      <c r="C82" s="7"/>
      <c r="F82" s="119"/>
      <c r="G82" s="120"/>
      <c r="K82" s="111">
        <v>2</v>
      </c>
      <c r="L82" s="110" t="s">
        <v>783</v>
      </c>
      <c r="M82" s="112" t="s">
        <v>784</v>
      </c>
    </row>
    <row r="83" spans="2:13" ht="15.75" thickBot="1" x14ac:dyDescent="0.25">
      <c r="B83" t="s">
        <v>726</v>
      </c>
      <c r="F83">
        <f>'1.Project Cost and MOF'!E22</f>
        <v>30753483.93405411</v>
      </c>
      <c r="K83" s="111">
        <v>2</v>
      </c>
      <c r="L83" s="110" t="str">
        <f>C65</f>
        <v>Construction of Godown</v>
      </c>
      <c r="M83" s="116" t="s">
        <v>764</v>
      </c>
    </row>
    <row r="84" spans="2:13" ht="15.75" thickBot="1" x14ac:dyDescent="0.25">
      <c r="F84" s="19">
        <f>F83-F81</f>
        <v>860551.11165411025</v>
      </c>
      <c r="K84" s="111">
        <v>3</v>
      </c>
      <c r="L84" s="110" t="str">
        <f>C70</f>
        <v>Fruit Processing Machine</v>
      </c>
      <c r="M84" s="116" t="s">
        <v>764</v>
      </c>
    </row>
    <row r="85" spans="2:13" ht="15.75" thickBot="1" x14ac:dyDescent="0.25">
      <c r="K85" s="111">
        <v>4</v>
      </c>
      <c r="L85" s="110" t="s">
        <v>761</v>
      </c>
      <c r="M85" s="116" t="s">
        <v>764</v>
      </c>
    </row>
    <row r="86" spans="2:13" ht="15.75" thickBot="1" x14ac:dyDescent="0.25">
      <c r="K86" s="113" t="s">
        <v>174</v>
      </c>
      <c r="L86" s="114" t="s">
        <v>722</v>
      </c>
      <c r="M86" s="115"/>
    </row>
    <row r="87" spans="2:13" ht="15.75" thickBot="1" x14ac:dyDescent="0.25">
      <c r="K87" s="111">
        <v>1</v>
      </c>
      <c r="L87" s="110" t="s">
        <v>323</v>
      </c>
      <c r="M87" s="112" t="s">
        <v>762</v>
      </c>
    </row>
    <row r="88" spans="2:13" ht="15.75" thickBot="1" x14ac:dyDescent="0.25">
      <c r="K88" s="111">
        <v>2</v>
      </c>
      <c r="L88" s="110" t="s">
        <v>763</v>
      </c>
      <c r="M88" s="112" t="s">
        <v>762</v>
      </c>
    </row>
    <row r="89" spans="2:13" ht="15.75" thickBot="1" x14ac:dyDescent="0.25">
      <c r="K89" s="111">
        <v>3</v>
      </c>
      <c r="L89" s="110" t="s">
        <v>724</v>
      </c>
      <c r="M89" s="112" t="s">
        <v>762</v>
      </c>
    </row>
  </sheetData>
  <mergeCells count="6">
    <mergeCell ref="B61:E61"/>
    <mergeCell ref="B75:E75"/>
    <mergeCell ref="B80:E80"/>
    <mergeCell ref="B81:C81"/>
    <mergeCell ref="G77:G80"/>
    <mergeCell ref="G63:G7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2:I98"/>
  <sheetViews>
    <sheetView view="pageBreakPreview" topLeftCell="A58" zoomScale="80" zoomScaleSheetLayoutView="80" workbookViewId="0">
      <selection activeCell="A9" sqref="A9:G69"/>
    </sheetView>
  </sheetViews>
  <sheetFormatPr defaultColWidth="8.7421875" defaultRowHeight="15" x14ac:dyDescent="0.2"/>
  <cols>
    <col min="1" max="1" width="8.7421875" style="92"/>
    <col min="2" max="2" width="15.46875" style="92" customWidth="1"/>
    <col min="3" max="3" width="28.11328125" style="92" bestFit="1" customWidth="1"/>
    <col min="4" max="4" width="14.66015625" style="92" customWidth="1"/>
    <col min="5" max="5" width="25.828125" style="92" bestFit="1" customWidth="1"/>
    <col min="6" max="6" width="12.23828125" style="92" customWidth="1"/>
    <col min="7" max="7" width="27.3046875" style="92" bestFit="1" customWidth="1"/>
    <col min="8" max="8" width="12.23828125" style="92" bestFit="1" customWidth="1"/>
    <col min="9" max="9" width="11.703125" style="92" bestFit="1" customWidth="1"/>
    <col min="10" max="16384" width="8.7421875" style="92"/>
  </cols>
  <sheetData>
    <row r="2" spans="1:7" ht="18.75" x14ac:dyDescent="0.25">
      <c r="A2" s="427" t="s">
        <v>550</v>
      </c>
      <c r="B2" s="427"/>
      <c r="C2" s="427"/>
      <c r="D2" s="427"/>
      <c r="E2" s="427"/>
      <c r="F2" s="427"/>
      <c r="G2" s="445"/>
    </row>
    <row r="3" spans="1:7" x14ac:dyDescent="0.2">
      <c r="B3" s="134"/>
      <c r="C3" s="134"/>
      <c r="D3" s="134"/>
      <c r="E3" s="134"/>
      <c r="F3" s="134"/>
      <c r="G3" s="134"/>
    </row>
    <row r="4" spans="1:7" x14ac:dyDescent="0.2">
      <c r="C4" s="92" t="s">
        <v>453</v>
      </c>
      <c r="D4" s="197">
        <f>'1.Project Cost and MOF'!E20</f>
        <v>8967879.8467199989</v>
      </c>
    </row>
    <row r="5" spans="1:7" x14ac:dyDescent="0.2">
      <c r="C5" s="92" t="s">
        <v>454</v>
      </c>
      <c r="D5" s="198">
        <v>0.12</v>
      </c>
    </row>
    <row r="6" spans="1:7" x14ac:dyDescent="0.2">
      <c r="C6" s="92" t="s">
        <v>455</v>
      </c>
      <c r="D6" s="124">
        <v>5</v>
      </c>
    </row>
    <row r="7" spans="1:7" x14ac:dyDescent="0.2">
      <c r="C7" s="92" t="s">
        <v>456</v>
      </c>
      <c r="D7" s="124">
        <v>6</v>
      </c>
    </row>
    <row r="8" spans="1:7" x14ac:dyDescent="0.2">
      <c r="C8" s="92" t="s">
        <v>22</v>
      </c>
      <c r="D8" s="199">
        <f>PMT(D5/12,(D6-(D7/12))*12,-D4)</f>
        <v>215736.54206555069</v>
      </c>
      <c r="E8" s="199"/>
      <c r="F8" s="200"/>
    </row>
    <row r="9" spans="1:7" x14ac:dyDescent="0.2">
      <c r="A9" s="126" t="s">
        <v>287</v>
      </c>
      <c r="B9" s="201" t="s">
        <v>18</v>
      </c>
      <c r="C9" s="202" t="s">
        <v>19</v>
      </c>
      <c r="D9" s="202" t="s">
        <v>20</v>
      </c>
      <c r="E9" s="202" t="s">
        <v>21</v>
      </c>
      <c r="F9" s="202" t="s">
        <v>22</v>
      </c>
      <c r="G9" s="202" t="s">
        <v>23</v>
      </c>
    </row>
    <row r="10" spans="1:7" x14ac:dyDescent="0.2">
      <c r="A10" s="93" t="s">
        <v>11</v>
      </c>
      <c r="B10" s="93" t="s">
        <v>51</v>
      </c>
      <c r="C10" s="95">
        <f>D4</f>
        <v>8967879.8467199989</v>
      </c>
      <c r="D10" s="95">
        <f t="shared" ref="D10:D41" si="0">C10*$D$5/12</f>
        <v>89678.798467199973</v>
      </c>
      <c r="E10" s="95">
        <f t="shared" ref="E10:E15" si="1">F10-D10</f>
        <v>0</v>
      </c>
      <c r="F10" s="95">
        <f>D10</f>
        <v>89678.798467199973</v>
      </c>
      <c r="G10" s="95">
        <f>C10-E10</f>
        <v>8967879.8467199989</v>
      </c>
    </row>
    <row r="11" spans="1:7" x14ac:dyDescent="0.2">
      <c r="A11" s="93"/>
      <c r="B11" s="93" t="s">
        <v>52</v>
      </c>
      <c r="C11" s="95">
        <f>G10</f>
        <v>8967879.8467199989</v>
      </c>
      <c r="D11" s="95">
        <f t="shared" si="0"/>
        <v>89678.798467199973</v>
      </c>
      <c r="E11" s="95">
        <f t="shared" si="1"/>
        <v>0</v>
      </c>
      <c r="F11" s="95">
        <f t="shared" ref="F11:F15" si="2">D11</f>
        <v>89678.798467199973</v>
      </c>
      <c r="G11" s="95">
        <f t="shared" ref="G11:G74" si="3">C11-E11</f>
        <v>8967879.8467199989</v>
      </c>
    </row>
    <row r="12" spans="1:7" x14ac:dyDescent="0.2">
      <c r="A12" s="93"/>
      <c r="B12" s="93" t="s">
        <v>53</v>
      </c>
      <c r="C12" s="95">
        <f t="shared" ref="C12:C75" si="4">G11</f>
        <v>8967879.8467199989</v>
      </c>
      <c r="D12" s="95">
        <f t="shared" si="0"/>
        <v>89678.798467199973</v>
      </c>
      <c r="E12" s="95">
        <f t="shared" si="1"/>
        <v>0</v>
      </c>
      <c r="F12" s="95">
        <f t="shared" si="2"/>
        <v>89678.798467199973</v>
      </c>
      <c r="G12" s="95">
        <f t="shared" si="3"/>
        <v>8967879.8467199989</v>
      </c>
    </row>
    <row r="13" spans="1:7" x14ac:dyDescent="0.2">
      <c r="A13" s="93"/>
      <c r="B13" s="93" t="s">
        <v>54</v>
      </c>
      <c r="C13" s="95">
        <f t="shared" si="4"/>
        <v>8967879.8467199989</v>
      </c>
      <c r="D13" s="95">
        <f t="shared" si="0"/>
        <v>89678.798467199973</v>
      </c>
      <c r="E13" s="95">
        <f t="shared" si="1"/>
        <v>0</v>
      </c>
      <c r="F13" s="95">
        <f t="shared" si="2"/>
        <v>89678.798467199973</v>
      </c>
      <c r="G13" s="95">
        <f t="shared" si="3"/>
        <v>8967879.8467199989</v>
      </c>
    </row>
    <row r="14" spans="1:7" x14ac:dyDescent="0.2">
      <c r="A14" s="93"/>
      <c r="B14" s="93" t="s">
        <v>55</v>
      </c>
      <c r="C14" s="95">
        <f t="shared" si="4"/>
        <v>8967879.8467199989</v>
      </c>
      <c r="D14" s="95">
        <f t="shared" si="0"/>
        <v>89678.798467199973</v>
      </c>
      <c r="E14" s="95">
        <f t="shared" si="1"/>
        <v>0</v>
      </c>
      <c r="F14" s="95">
        <f t="shared" si="2"/>
        <v>89678.798467199973</v>
      </c>
      <c r="G14" s="95">
        <f t="shared" si="3"/>
        <v>8967879.8467199989</v>
      </c>
    </row>
    <row r="15" spans="1:7" x14ac:dyDescent="0.2">
      <c r="A15" s="93"/>
      <c r="B15" s="93" t="s">
        <v>56</v>
      </c>
      <c r="C15" s="95">
        <f t="shared" si="4"/>
        <v>8967879.8467199989</v>
      </c>
      <c r="D15" s="95">
        <f t="shared" si="0"/>
        <v>89678.798467199973</v>
      </c>
      <c r="E15" s="95">
        <f t="shared" si="1"/>
        <v>0</v>
      </c>
      <c r="F15" s="95">
        <f t="shared" si="2"/>
        <v>89678.798467199973</v>
      </c>
      <c r="G15" s="95">
        <f t="shared" si="3"/>
        <v>8967879.8467199989</v>
      </c>
    </row>
    <row r="16" spans="1:7" x14ac:dyDescent="0.2">
      <c r="A16" s="93"/>
      <c r="B16" s="93" t="s">
        <v>57</v>
      </c>
      <c r="C16" s="95">
        <f t="shared" si="4"/>
        <v>8967879.8467199989</v>
      </c>
      <c r="D16" s="95">
        <f t="shared" si="0"/>
        <v>89678.798467199973</v>
      </c>
      <c r="E16" s="95">
        <f>F16-D16</f>
        <v>126057.74359835072</v>
      </c>
      <c r="F16" s="95">
        <f t="shared" ref="F16:F69" si="5">$D$8</f>
        <v>215736.54206555069</v>
      </c>
      <c r="G16" s="95">
        <f t="shared" si="3"/>
        <v>8841822.1031216476</v>
      </c>
    </row>
    <row r="17" spans="1:9" x14ac:dyDescent="0.2">
      <c r="A17" s="93"/>
      <c r="B17" s="93" t="s">
        <v>58</v>
      </c>
      <c r="C17" s="95">
        <f t="shared" si="4"/>
        <v>8841822.1031216476</v>
      </c>
      <c r="D17" s="95">
        <f t="shared" si="0"/>
        <v>88418.221031216483</v>
      </c>
      <c r="E17" s="95">
        <f t="shared" ref="E17:E80" si="6">F17-D17</f>
        <v>127318.32103433421</v>
      </c>
      <c r="F17" s="95">
        <f t="shared" si="5"/>
        <v>215736.54206555069</v>
      </c>
      <c r="G17" s="95">
        <f t="shared" si="3"/>
        <v>8714503.782087313</v>
      </c>
    </row>
    <row r="18" spans="1:9" x14ac:dyDescent="0.2">
      <c r="A18" s="93"/>
      <c r="B18" s="93" t="s">
        <v>59</v>
      </c>
      <c r="C18" s="95">
        <f t="shared" si="4"/>
        <v>8714503.782087313</v>
      </c>
      <c r="D18" s="95">
        <f t="shared" si="0"/>
        <v>87145.037820873127</v>
      </c>
      <c r="E18" s="95">
        <f t="shared" si="6"/>
        <v>128591.50424467756</v>
      </c>
      <c r="F18" s="95">
        <f t="shared" si="5"/>
        <v>215736.54206555069</v>
      </c>
      <c r="G18" s="95">
        <f t="shared" si="3"/>
        <v>8585912.2778426353</v>
      </c>
    </row>
    <row r="19" spans="1:9" x14ac:dyDescent="0.2">
      <c r="A19" s="93"/>
      <c r="B19" s="93" t="s">
        <v>60</v>
      </c>
      <c r="C19" s="95">
        <f t="shared" si="4"/>
        <v>8585912.2778426353</v>
      </c>
      <c r="D19" s="95">
        <f t="shared" si="0"/>
        <v>85859.122778426346</v>
      </c>
      <c r="E19" s="95">
        <f t="shared" si="6"/>
        <v>129877.41928712434</v>
      </c>
      <c r="F19" s="95">
        <f t="shared" si="5"/>
        <v>215736.54206555069</v>
      </c>
      <c r="G19" s="95">
        <f t="shared" si="3"/>
        <v>8456034.8585555106</v>
      </c>
    </row>
    <row r="20" spans="1:9" x14ac:dyDescent="0.2">
      <c r="A20" s="93"/>
      <c r="B20" s="93" t="s">
        <v>61</v>
      </c>
      <c r="C20" s="95">
        <f t="shared" si="4"/>
        <v>8456034.8585555106</v>
      </c>
      <c r="D20" s="95">
        <f t="shared" si="0"/>
        <v>84560.348585555112</v>
      </c>
      <c r="E20" s="95">
        <f t="shared" si="6"/>
        <v>131176.19347999559</v>
      </c>
      <c r="F20" s="95">
        <f t="shared" si="5"/>
        <v>215736.54206555069</v>
      </c>
      <c r="G20" s="95">
        <f t="shared" si="3"/>
        <v>8324858.6650755154</v>
      </c>
    </row>
    <row r="21" spans="1:9" x14ac:dyDescent="0.2">
      <c r="A21" s="93"/>
      <c r="B21" s="93" t="s">
        <v>62</v>
      </c>
      <c r="C21" s="95">
        <f t="shared" si="4"/>
        <v>8324858.6650755154</v>
      </c>
      <c r="D21" s="95">
        <f t="shared" si="0"/>
        <v>83248.586650755155</v>
      </c>
      <c r="E21" s="95">
        <f t="shared" si="6"/>
        <v>132487.95541479555</v>
      </c>
      <c r="F21" s="95">
        <f t="shared" si="5"/>
        <v>215736.54206555069</v>
      </c>
      <c r="G21" s="95">
        <f t="shared" si="3"/>
        <v>8192370.7096607201</v>
      </c>
      <c r="H21" s="101"/>
      <c r="I21" s="101"/>
    </row>
    <row r="22" spans="1:9" x14ac:dyDescent="0.2">
      <c r="A22" s="93" t="s">
        <v>12</v>
      </c>
      <c r="B22" s="93" t="s">
        <v>63</v>
      </c>
      <c r="C22" s="95">
        <f t="shared" si="4"/>
        <v>8192370.7096607201</v>
      </c>
      <c r="D22" s="95">
        <f t="shared" si="0"/>
        <v>81923.707096607206</v>
      </c>
      <c r="E22" s="95">
        <f t="shared" si="6"/>
        <v>133812.8349689435</v>
      </c>
      <c r="F22" s="95">
        <f t="shared" si="5"/>
        <v>215736.54206555069</v>
      </c>
      <c r="G22" s="95">
        <f t="shared" si="3"/>
        <v>8058557.8746917769</v>
      </c>
    </row>
    <row r="23" spans="1:9" x14ac:dyDescent="0.2">
      <c r="A23" s="93"/>
      <c r="B23" s="93" t="s">
        <v>64</v>
      </c>
      <c r="C23" s="95">
        <f t="shared" si="4"/>
        <v>8058557.8746917769</v>
      </c>
      <c r="D23" s="95">
        <f t="shared" si="0"/>
        <v>80585.578746917759</v>
      </c>
      <c r="E23" s="95">
        <f t="shared" si="6"/>
        <v>135150.96331863292</v>
      </c>
      <c r="F23" s="95">
        <f t="shared" si="5"/>
        <v>215736.54206555069</v>
      </c>
      <c r="G23" s="95">
        <f t="shared" si="3"/>
        <v>7923406.911373144</v>
      </c>
    </row>
    <row r="24" spans="1:9" x14ac:dyDescent="0.2">
      <c r="A24" s="93"/>
      <c r="B24" s="93" t="s">
        <v>65</v>
      </c>
      <c r="C24" s="95">
        <f t="shared" si="4"/>
        <v>7923406.911373144</v>
      </c>
      <c r="D24" s="95">
        <f t="shared" si="0"/>
        <v>79234.069113731428</v>
      </c>
      <c r="E24" s="95">
        <f t="shared" si="6"/>
        <v>136502.47295181925</v>
      </c>
      <c r="F24" s="95">
        <f t="shared" si="5"/>
        <v>215736.54206555069</v>
      </c>
      <c r="G24" s="95">
        <f t="shared" si="3"/>
        <v>7786904.4384213248</v>
      </c>
    </row>
    <row r="25" spans="1:9" x14ac:dyDescent="0.2">
      <c r="A25" s="93"/>
      <c r="B25" s="93" t="s">
        <v>66</v>
      </c>
      <c r="C25" s="95">
        <f t="shared" si="4"/>
        <v>7786904.4384213248</v>
      </c>
      <c r="D25" s="95">
        <f t="shared" si="0"/>
        <v>77869.044384213237</v>
      </c>
      <c r="E25" s="95">
        <f t="shared" si="6"/>
        <v>137867.49768133747</v>
      </c>
      <c r="F25" s="95">
        <f t="shared" si="5"/>
        <v>215736.54206555069</v>
      </c>
      <c r="G25" s="95">
        <f t="shared" si="3"/>
        <v>7649036.9407399874</v>
      </c>
    </row>
    <row r="26" spans="1:9" x14ac:dyDescent="0.2">
      <c r="A26" s="93"/>
      <c r="B26" s="93" t="s">
        <v>67</v>
      </c>
      <c r="C26" s="95">
        <f t="shared" si="4"/>
        <v>7649036.9407399874</v>
      </c>
      <c r="D26" s="95">
        <f t="shared" si="0"/>
        <v>76490.369407399863</v>
      </c>
      <c r="E26" s="95">
        <f t="shared" si="6"/>
        <v>139246.17265815084</v>
      </c>
      <c r="F26" s="95">
        <f t="shared" si="5"/>
        <v>215736.54206555069</v>
      </c>
      <c r="G26" s="95">
        <f t="shared" si="3"/>
        <v>7509790.7680818364</v>
      </c>
    </row>
    <row r="27" spans="1:9" x14ac:dyDescent="0.2">
      <c r="A27" s="93"/>
      <c r="B27" s="93" t="s">
        <v>68</v>
      </c>
      <c r="C27" s="95">
        <f t="shared" si="4"/>
        <v>7509790.7680818364</v>
      </c>
      <c r="D27" s="95">
        <f t="shared" si="0"/>
        <v>75097.90768081836</v>
      </c>
      <c r="E27" s="95">
        <f t="shared" si="6"/>
        <v>140638.63438473234</v>
      </c>
      <c r="F27" s="95">
        <f t="shared" si="5"/>
        <v>215736.54206555069</v>
      </c>
      <c r="G27" s="95">
        <f t="shared" si="3"/>
        <v>7369152.1336971037</v>
      </c>
    </row>
    <row r="28" spans="1:9" x14ac:dyDescent="0.2">
      <c r="A28" s="93"/>
      <c r="B28" s="93" t="s">
        <v>69</v>
      </c>
      <c r="C28" s="95">
        <f t="shared" si="4"/>
        <v>7369152.1336971037</v>
      </c>
      <c r="D28" s="95">
        <f t="shared" si="0"/>
        <v>73691.52133697104</v>
      </c>
      <c r="E28" s="95">
        <f t="shared" si="6"/>
        <v>142045.02072857966</v>
      </c>
      <c r="F28" s="95">
        <f t="shared" si="5"/>
        <v>215736.54206555069</v>
      </c>
      <c r="G28" s="95">
        <f t="shared" si="3"/>
        <v>7227107.112968524</v>
      </c>
    </row>
    <row r="29" spans="1:9" x14ac:dyDescent="0.2">
      <c r="A29" s="93"/>
      <c r="B29" s="93" t="s">
        <v>70</v>
      </c>
      <c r="C29" s="95">
        <f t="shared" si="4"/>
        <v>7227107.112968524</v>
      </c>
      <c r="D29" s="95">
        <f t="shared" si="0"/>
        <v>72271.071129685239</v>
      </c>
      <c r="E29" s="95">
        <f t="shared" si="6"/>
        <v>143465.47093586545</v>
      </c>
      <c r="F29" s="95">
        <f t="shared" si="5"/>
        <v>215736.54206555069</v>
      </c>
      <c r="G29" s="95">
        <f t="shared" si="3"/>
        <v>7083641.6420326587</v>
      </c>
    </row>
    <row r="30" spans="1:9" x14ac:dyDescent="0.2">
      <c r="A30" s="93"/>
      <c r="B30" s="93" t="s">
        <v>71</v>
      </c>
      <c r="C30" s="95">
        <f t="shared" si="4"/>
        <v>7083641.6420326587</v>
      </c>
      <c r="D30" s="95">
        <f t="shared" si="0"/>
        <v>70836.416420326583</v>
      </c>
      <c r="E30" s="95">
        <f t="shared" si="6"/>
        <v>144900.12564522412</v>
      </c>
      <c r="F30" s="95">
        <f t="shared" si="5"/>
        <v>215736.54206555069</v>
      </c>
      <c r="G30" s="95">
        <f t="shared" si="3"/>
        <v>6938741.5163874347</v>
      </c>
    </row>
    <row r="31" spans="1:9" x14ac:dyDescent="0.2">
      <c r="A31" s="93"/>
      <c r="B31" s="93" t="s">
        <v>72</v>
      </c>
      <c r="C31" s="95">
        <f t="shared" si="4"/>
        <v>6938741.5163874347</v>
      </c>
      <c r="D31" s="95">
        <f t="shared" si="0"/>
        <v>69387.41516387435</v>
      </c>
      <c r="E31" s="95">
        <f t="shared" si="6"/>
        <v>146349.12690167635</v>
      </c>
      <c r="F31" s="95">
        <f t="shared" si="5"/>
        <v>215736.54206555069</v>
      </c>
      <c r="G31" s="95">
        <f t="shared" si="3"/>
        <v>6792392.3894857587</v>
      </c>
    </row>
    <row r="32" spans="1:9" x14ac:dyDescent="0.2">
      <c r="A32" s="93"/>
      <c r="B32" s="93" t="s">
        <v>73</v>
      </c>
      <c r="C32" s="95">
        <f t="shared" si="4"/>
        <v>6792392.3894857587</v>
      </c>
      <c r="D32" s="95">
        <f t="shared" si="0"/>
        <v>67923.92389485758</v>
      </c>
      <c r="E32" s="95">
        <f t="shared" si="6"/>
        <v>147812.61817069311</v>
      </c>
      <c r="F32" s="95">
        <f t="shared" si="5"/>
        <v>215736.54206555069</v>
      </c>
      <c r="G32" s="95">
        <f t="shared" si="3"/>
        <v>6644579.7713150652</v>
      </c>
    </row>
    <row r="33" spans="1:9" x14ac:dyDescent="0.2">
      <c r="A33" s="93"/>
      <c r="B33" s="93" t="s">
        <v>74</v>
      </c>
      <c r="C33" s="95">
        <f t="shared" si="4"/>
        <v>6644579.7713150652</v>
      </c>
      <c r="D33" s="95">
        <f t="shared" si="0"/>
        <v>66445.797713150649</v>
      </c>
      <c r="E33" s="95">
        <f t="shared" si="6"/>
        <v>149290.74435240004</v>
      </c>
      <c r="F33" s="95">
        <f t="shared" si="5"/>
        <v>215736.54206555069</v>
      </c>
      <c r="G33" s="95">
        <f t="shared" si="3"/>
        <v>6495289.0269626649</v>
      </c>
      <c r="H33" s="101"/>
      <c r="I33" s="101"/>
    </row>
    <row r="34" spans="1:9" x14ac:dyDescent="0.2">
      <c r="A34" s="93" t="s">
        <v>13</v>
      </c>
      <c r="B34" s="93" t="s">
        <v>75</v>
      </c>
      <c r="C34" s="95">
        <f t="shared" si="4"/>
        <v>6495289.0269626649</v>
      </c>
      <c r="D34" s="95">
        <f t="shared" si="0"/>
        <v>64952.890269626652</v>
      </c>
      <c r="E34" s="95">
        <f t="shared" si="6"/>
        <v>150783.65179592403</v>
      </c>
      <c r="F34" s="95">
        <f t="shared" si="5"/>
        <v>215736.54206555069</v>
      </c>
      <c r="G34" s="95">
        <f t="shared" si="3"/>
        <v>6344505.3751667412</v>
      </c>
    </row>
    <row r="35" spans="1:9" x14ac:dyDescent="0.2">
      <c r="A35" s="93"/>
      <c r="B35" s="93" t="s">
        <v>76</v>
      </c>
      <c r="C35" s="95">
        <f t="shared" si="4"/>
        <v>6344505.3751667412</v>
      </c>
      <c r="D35" s="95">
        <f t="shared" si="0"/>
        <v>63445.053751667409</v>
      </c>
      <c r="E35" s="95">
        <f t="shared" si="6"/>
        <v>152291.48831388328</v>
      </c>
      <c r="F35" s="95">
        <f t="shared" si="5"/>
        <v>215736.54206555069</v>
      </c>
      <c r="G35" s="95">
        <f t="shared" si="3"/>
        <v>6192213.8868528577</v>
      </c>
    </row>
    <row r="36" spans="1:9" x14ac:dyDescent="0.2">
      <c r="A36" s="93"/>
      <c r="B36" s="93" t="s">
        <v>77</v>
      </c>
      <c r="C36" s="95">
        <f t="shared" si="4"/>
        <v>6192213.8868528577</v>
      </c>
      <c r="D36" s="95">
        <f t="shared" si="0"/>
        <v>61922.138868528571</v>
      </c>
      <c r="E36" s="95">
        <f t="shared" si="6"/>
        <v>153814.40319702213</v>
      </c>
      <c r="F36" s="95">
        <f t="shared" si="5"/>
        <v>215736.54206555069</v>
      </c>
      <c r="G36" s="95">
        <f t="shared" si="3"/>
        <v>6038399.4836558355</v>
      </c>
    </row>
    <row r="37" spans="1:9" x14ac:dyDescent="0.2">
      <c r="A37" s="93"/>
      <c r="B37" s="93" t="s">
        <v>78</v>
      </c>
      <c r="C37" s="95">
        <f t="shared" si="4"/>
        <v>6038399.4836558355</v>
      </c>
      <c r="D37" s="95">
        <f t="shared" si="0"/>
        <v>60383.994836558355</v>
      </c>
      <c r="E37" s="95">
        <f t="shared" si="6"/>
        <v>155352.54722899233</v>
      </c>
      <c r="F37" s="95">
        <f t="shared" si="5"/>
        <v>215736.54206555069</v>
      </c>
      <c r="G37" s="95">
        <f t="shared" si="3"/>
        <v>5883046.9364268435</v>
      </c>
    </row>
    <row r="38" spans="1:9" x14ac:dyDescent="0.2">
      <c r="A38" s="93"/>
      <c r="B38" s="93" t="s">
        <v>79</v>
      </c>
      <c r="C38" s="95">
        <f t="shared" si="4"/>
        <v>5883046.9364268435</v>
      </c>
      <c r="D38" s="95">
        <f t="shared" si="0"/>
        <v>58830.469364268436</v>
      </c>
      <c r="E38" s="95">
        <f t="shared" si="6"/>
        <v>156906.07270128225</v>
      </c>
      <c r="F38" s="95">
        <f t="shared" si="5"/>
        <v>215736.54206555069</v>
      </c>
      <c r="G38" s="95">
        <f t="shared" si="3"/>
        <v>5726140.8637255616</v>
      </c>
    </row>
    <row r="39" spans="1:9" x14ac:dyDescent="0.2">
      <c r="A39" s="93"/>
      <c r="B39" s="93" t="s">
        <v>80</v>
      </c>
      <c r="C39" s="95">
        <f t="shared" si="4"/>
        <v>5726140.8637255616</v>
      </c>
      <c r="D39" s="95">
        <f t="shared" si="0"/>
        <v>57261.408637255612</v>
      </c>
      <c r="E39" s="95">
        <f t="shared" si="6"/>
        <v>158475.13342829508</v>
      </c>
      <c r="F39" s="95">
        <f t="shared" si="5"/>
        <v>215736.54206555069</v>
      </c>
      <c r="G39" s="95">
        <f t="shared" si="3"/>
        <v>5567665.7302972665</v>
      </c>
    </row>
    <row r="40" spans="1:9" x14ac:dyDescent="0.2">
      <c r="A40" s="93"/>
      <c r="B40" s="93" t="s">
        <v>81</v>
      </c>
      <c r="C40" s="95">
        <f t="shared" si="4"/>
        <v>5567665.7302972665</v>
      </c>
      <c r="D40" s="95">
        <f t="shared" si="0"/>
        <v>55676.657302972664</v>
      </c>
      <c r="E40" s="95">
        <f t="shared" si="6"/>
        <v>160059.88476257803</v>
      </c>
      <c r="F40" s="95">
        <f t="shared" si="5"/>
        <v>215736.54206555069</v>
      </c>
      <c r="G40" s="95">
        <f t="shared" si="3"/>
        <v>5407605.8455346888</v>
      </c>
    </row>
    <row r="41" spans="1:9" x14ac:dyDescent="0.2">
      <c r="A41" s="93"/>
      <c r="B41" s="93" t="s">
        <v>82</v>
      </c>
      <c r="C41" s="95">
        <f t="shared" si="4"/>
        <v>5407605.8455346888</v>
      </c>
      <c r="D41" s="95">
        <f t="shared" si="0"/>
        <v>54076.058455346887</v>
      </c>
      <c r="E41" s="95">
        <f t="shared" si="6"/>
        <v>161660.48361020381</v>
      </c>
      <c r="F41" s="95">
        <f t="shared" si="5"/>
        <v>215736.54206555069</v>
      </c>
      <c r="G41" s="95">
        <f t="shared" si="3"/>
        <v>5245945.3619244853</v>
      </c>
    </row>
    <row r="42" spans="1:9" x14ac:dyDescent="0.2">
      <c r="A42" s="93"/>
      <c r="B42" s="93" t="s">
        <v>83</v>
      </c>
      <c r="C42" s="95">
        <f t="shared" si="4"/>
        <v>5245945.3619244853</v>
      </c>
      <c r="D42" s="95">
        <f t="shared" ref="D42:D73" si="7">C42*$D$5/12</f>
        <v>52459.45361924485</v>
      </c>
      <c r="E42" s="95">
        <f t="shared" si="6"/>
        <v>163277.08844630583</v>
      </c>
      <c r="F42" s="95">
        <f t="shared" si="5"/>
        <v>215736.54206555069</v>
      </c>
      <c r="G42" s="95">
        <f t="shared" si="3"/>
        <v>5082668.2734781792</v>
      </c>
    </row>
    <row r="43" spans="1:9" x14ac:dyDescent="0.2">
      <c r="A43" s="93"/>
      <c r="B43" s="93" t="s">
        <v>84</v>
      </c>
      <c r="C43" s="95">
        <f t="shared" si="4"/>
        <v>5082668.2734781792</v>
      </c>
      <c r="D43" s="95">
        <f t="shared" si="7"/>
        <v>50826.682734781789</v>
      </c>
      <c r="E43" s="95">
        <f t="shared" si="6"/>
        <v>164909.8593307689</v>
      </c>
      <c r="F43" s="95">
        <f t="shared" si="5"/>
        <v>215736.54206555069</v>
      </c>
      <c r="G43" s="95">
        <f t="shared" si="3"/>
        <v>4917758.4141474105</v>
      </c>
    </row>
    <row r="44" spans="1:9" x14ac:dyDescent="0.2">
      <c r="A44" s="93"/>
      <c r="B44" s="93" t="s">
        <v>85</v>
      </c>
      <c r="C44" s="95">
        <f t="shared" si="4"/>
        <v>4917758.4141474105</v>
      </c>
      <c r="D44" s="95">
        <f t="shared" si="7"/>
        <v>49177.584141474101</v>
      </c>
      <c r="E44" s="95">
        <f t="shared" si="6"/>
        <v>166558.95792407659</v>
      </c>
      <c r="F44" s="95">
        <f t="shared" si="5"/>
        <v>215736.54206555069</v>
      </c>
      <c r="G44" s="95">
        <f t="shared" si="3"/>
        <v>4751199.4562233342</v>
      </c>
    </row>
    <row r="45" spans="1:9" x14ac:dyDescent="0.2">
      <c r="A45" s="93"/>
      <c r="B45" s="93" t="s">
        <v>86</v>
      </c>
      <c r="C45" s="95">
        <f t="shared" si="4"/>
        <v>4751199.4562233342</v>
      </c>
      <c r="D45" s="95">
        <f t="shared" si="7"/>
        <v>47511.99456223334</v>
      </c>
      <c r="E45" s="95">
        <f t="shared" si="6"/>
        <v>168224.54750331736</v>
      </c>
      <c r="F45" s="95">
        <f t="shared" si="5"/>
        <v>215736.54206555069</v>
      </c>
      <c r="G45" s="95">
        <f t="shared" si="3"/>
        <v>4582974.9087200165</v>
      </c>
      <c r="H45" s="101"/>
      <c r="I45" s="101"/>
    </row>
    <row r="46" spans="1:9" x14ac:dyDescent="0.2">
      <c r="A46" s="93" t="s">
        <v>14</v>
      </c>
      <c r="B46" s="93" t="s">
        <v>87</v>
      </c>
      <c r="C46" s="95">
        <f t="shared" si="4"/>
        <v>4582974.9087200165</v>
      </c>
      <c r="D46" s="95">
        <f t="shared" si="7"/>
        <v>45829.749087200158</v>
      </c>
      <c r="E46" s="95">
        <f t="shared" si="6"/>
        <v>169906.79297835054</v>
      </c>
      <c r="F46" s="95">
        <f t="shared" si="5"/>
        <v>215736.54206555069</v>
      </c>
      <c r="G46" s="95">
        <f t="shared" si="3"/>
        <v>4413068.1157416664</v>
      </c>
    </row>
    <row r="47" spans="1:9" x14ac:dyDescent="0.2">
      <c r="A47" s="93"/>
      <c r="B47" s="93" t="s">
        <v>88</v>
      </c>
      <c r="C47" s="95">
        <f t="shared" si="4"/>
        <v>4413068.1157416664</v>
      </c>
      <c r="D47" s="95">
        <f t="shared" si="7"/>
        <v>44130.681157416664</v>
      </c>
      <c r="E47" s="95">
        <f t="shared" si="6"/>
        <v>171605.86090813403</v>
      </c>
      <c r="F47" s="95">
        <f t="shared" si="5"/>
        <v>215736.54206555069</v>
      </c>
      <c r="G47" s="95">
        <f t="shared" si="3"/>
        <v>4241462.2548335325</v>
      </c>
    </row>
    <row r="48" spans="1:9" x14ac:dyDescent="0.2">
      <c r="A48" s="93"/>
      <c r="B48" s="93" t="s">
        <v>89</v>
      </c>
      <c r="C48" s="95">
        <f t="shared" si="4"/>
        <v>4241462.2548335325</v>
      </c>
      <c r="D48" s="95">
        <f t="shared" si="7"/>
        <v>42414.622548335326</v>
      </c>
      <c r="E48" s="95">
        <f t="shared" si="6"/>
        <v>173321.91951721537</v>
      </c>
      <c r="F48" s="95">
        <f t="shared" si="5"/>
        <v>215736.54206555069</v>
      </c>
      <c r="G48" s="95">
        <f t="shared" si="3"/>
        <v>4068140.3353163172</v>
      </c>
    </row>
    <row r="49" spans="1:9" x14ac:dyDescent="0.2">
      <c r="A49" s="93"/>
      <c r="B49" s="93" t="s">
        <v>90</v>
      </c>
      <c r="C49" s="95">
        <f t="shared" si="4"/>
        <v>4068140.3353163172</v>
      </c>
      <c r="D49" s="95">
        <f t="shared" si="7"/>
        <v>40681.403353163172</v>
      </c>
      <c r="E49" s="95">
        <f t="shared" si="6"/>
        <v>175055.13871238753</v>
      </c>
      <c r="F49" s="95">
        <f t="shared" si="5"/>
        <v>215736.54206555069</v>
      </c>
      <c r="G49" s="95">
        <f t="shared" si="3"/>
        <v>3893085.1966039296</v>
      </c>
    </row>
    <row r="50" spans="1:9" x14ac:dyDescent="0.2">
      <c r="A50" s="93"/>
      <c r="B50" s="93" t="s">
        <v>91</v>
      </c>
      <c r="C50" s="95">
        <f t="shared" si="4"/>
        <v>3893085.1966039296</v>
      </c>
      <c r="D50" s="95">
        <f t="shared" si="7"/>
        <v>38930.851966039299</v>
      </c>
      <c r="E50" s="95">
        <f t="shared" si="6"/>
        <v>176805.69009951138</v>
      </c>
      <c r="F50" s="95">
        <f t="shared" si="5"/>
        <v>215736.54206555069</v>
      </c>
      <c r="G50" s="95">
        <f t="shared" si="3"/>
        <v>3716279.5065044183</v>
      </c>
    </row>
    <row r="51" spans="1:9" x14ac:dyDescent="0.2">
      <c r="A51" s="93"/>
      <c r="B51" s="93" t="s">
        <v>92</v>
      </c>
      <c r="C51" s="95">
        <f t="shared" si="4"/>
        <v>3716279.5065044183</v>
      </c>
      <c r="D51" s="95">
        <f t="shared" si="7"/>
        <v>37162.795065044185</v>
      </c>
      <c r="E51" s="95">
        <f t="shared" si="6"/>
        <v>178573.7470005065</v>
      </c>
      <c r="F51" s="95">
        <f t="shared" si="5"/>
        <v>215736.54206555069</v>
      </c>
      <c r="G51" s="95">
        <f t="shared" si="3"/>
        <v>3537705.7595039117</v>
      </c>
    </row>
    <row r="52" spans="1:9" x14ac:dyDescent="0.2">
      <c r="A52" s="93"/>
      <c r="B52" s="93" t="s">
        <v>93</v>
      </c>
      <c r="C52" s="95">
        <f t="shared" si="4"/>
        <v>3537705.7595039117</v>
      </c>
      <c r="D52" s="95">
        <f t="shared" si="7"/>
        <v>35377.057595039114</v>
      </c>
      <c r="E52" s="95">
        <f t="shared" si="6"/>
        <v>180359.48447051158</v>
      </c>
      <c r="F52" s="95">
        <f t="shared" si="5"/>
        <v>215736.54206555069</v>
      </c>
      <c r="G52" s="95">
        <f t="shared" si="3"/>
        <v>3357346.2750333999</v>
      </c>
    </row>
    <row r="53" spans="1:9" x14ac:dyDescent="0.2">
      <c r="A53" s="93"/>
      <c r="B53" s="93" t="s">
        <v>94</v>
      </c>
      <c r="C53" s="95">
        <f t="shared" si="4"/>
        <v>3357346.2750333999</v>
      </c>
      <c r="D53" s="95">
        <f t="shared" si="7"/>
        <v>33573.462750333994</v>
      </c>
      <c r="E53" s="95">
        <f t="shared" si="6"/>
        <v>182163.07931521669</v>
      </c>
      <c r="F53" s="95">
        <f t="shared" si="5"/>
        <v>215736.54206555069</v>
      </c>
      <c r="G53" s="95">
        <f t="shared" si="3"/>
        <v>3175183.1957181832</v>
      </c>
    </row>
    <row r="54" spans="1:9" x14ac:dyDescent="0.2">
      <c r="A54" s="93"/>
      <c r="B54" s="93" t="s">
        <v>95</v>
      </c>
      <c r="C54" s="95">
        <f t="shared" si="4"/>
        <v>3175183.1957181832</v>
      </c>
      <c r="D54" s="95">
        <f t="shared" si="7"/>
        <v>31751.831957181828</v>
      </c>
      <c r="E54" s="95">
        <f t="shared" si="6"/>
        <v>183984.71010836886</v>
      </c>
      <c r="F54" s="95">
        <f t="shared" si="5"/>
        <v>215736.54206555069</v>
      </c>
      <c r="G54" s="95">
        <f t="shared" si="3"/>
        <v>2991198.4856098145</v>
      </c>
    </row>
    <row r="55" spans="1:9" x14ac:dyDescent="0.2">
      <c r="A55" s="93"/>
      <c r="B55" s="93" t="s">
        <v>96</v>
      </c>
      <c r="C55" s="95">
        <f t="shared" si="4"/>
        <v>2991198.4856098145</v>
      </c>
      <c r="D55" s="95">
        <f t="shared" si="7"/>
        <v>29911.984856098145</v>
      </c>
      <c r="E55" s="95">
        <f t="shared" si="6"/>
        <v>185824.55720945256</v>
      </c>
      <c r="F55" s="95">
        <f t="shared" si="5"/>
        <v>215736.54206555069</v>
      </c>
      <c r="G55" s="95">
        <f t="shared" si="3"/>
        <v>2805373.9284003619</v>
      </c>
    </row>
    <row r="56" spans="1:9" x14ac:dyDescent="0.2">
      <c r="A56" s="93"/>
      <c r="B56" s="93" t="s">
        <v>97</v>
      </c>
      <c r="C56" s="95">
        <f t="shared" si="4"/>
        <v>2805373.9284003619</v>
      </c>
      <c r="D56" s="95">
        <f t="shared" si="7"/>
        <v>28053.739284003619</v>
      </c>
      <c r="E56" s="95">
        <f t="shared" si="6"/>
        <v>187682.80278154707</v>
      </c>
      <c r="F56" s="95">
        <f t="shared" si="5"/>
        <v>215736.54206555069</v>
      </c>
      <c r="G56" s="95">
        <f t="shared" si="3"/>
        <v>2617691.125618815</v>
      </c>
    </row>
    <row r="57" spans="1:9" x14ac:dyDescent="0.2">
      <c r="A57" s="93"/>
      <c r="B57" s="93" t="s">
        <v>98</v>
      </c>
      <c r="C57" s="95">
        <f t="shared" si="4"/>
        <v>2617691.125618815</v>
      </c>
      <c r="D57" s="95">
        <f t="shared" si="7"/>
        <v>26176.911256188148</v>
      </c>
      <c r="E57" s="95">
        <f t="shared" si="6"/>
        <v>189559.63080936254</v>
      </c>
      <c r="F57" s="95">
        <f t="shared" si="5"/>
        <v>215736.54206555069</v>
      </c>
      <c r="G57" s="95">
        <f t="shared" si="3"/>
        <v>2428131.4948094524</v>
      </c>
      <c r="H57" s="101"/>
      <c r="I57" s="101"/>
    </row>
    <row r="58" spans="1:9" x14ac:dyDescent="0.2">
      <c r="A58" s="93" t="s">
        <v>15</v>
      </c>
      <c r="B58" s="93" t="s">
        <v>99</v>
      </c>
      <c r="C58" s="95">
        <f t="shared" si="4"/>
        <v>2428131.4948094524</v>
      </c>
      <c r="D58" s="95">
        <f t="shared" si="7"/>
        <v>24281.314948094525</v>
      </c>
      <c r="E58" s="95">
        <f t="shared" si="6"/>
        <v>191455.22711745618</v>
      </c>
      <c r="F58" s="95">
        <f t="shared" si="5"/>
        <v>215736.54206555069</v>
      </c>
      <c r="G58" s="95">
        <f t="shared" si="3"/>
        <v>2236676.2676919964</v>
      </c>
    </row>
    <row r="59" spans="1:9" x14ac:dyDescent="0.2">
      <c r="A59" s="93"/>
      <c r="B59" s="93" t="s">
        <v>100</v>
      </c>
      <c r="C59" s="95">
        <f t="shared" si="4"/>
        <v>2236676.2676919964</v>
      </c>
      <c r="D59" s="95">
        <f t="shared" si="7"/>
        <v>22366.762676919967</v>
      </c>
      <c r="E59" s="95">
        <f t="shared" si="6"/>
        <v>193369.77938863073</v>
      </c>
      <c r="F59" s="95">
        <f t="shared" si="5"/>
        <v>215736.54206555069</v>
      </c>
      <c r="G59" s="95">
        <f t="shared" si="3"/>
        <v>2043306.4883033657</v>
      </c>
    </row>
    <row r="60" spans="1:9" x14ac:dyDescent="0.2">
      <c r="A60" s="93"/>
      <c r="B60" s="93" t="s">
        <v>101</v>
      </c>
      <c r="C60" s="95">
        <f t="shared" si="4"/>
        <v>2043306.4883033657</v>
      </c>
      <c r="D60" s="95">
        <f t="shared" si="7"/>
        <v>20433.064883033654</v>
      </c>
      <c r="E60" s="95">
        <f t="shared" si="6"/>
        <v>195303.47718251703</v>
      </c>
      <c r="F60" s="95">
        <f t="shared" si="5"/>
        <v>215736.54206555069</v>
      </c>
      <c r="G60" s="95">
        <f t="shared" si="3"/>
        <v>1848003.0111208486</v>
      </c>
    </row>
    <row r="61" spans="1:9" x14ac:dyDescent="0.2">
      <c r="A61" s="93"/>
      <c r="B61" s="93" t="s">
        <v>102</v>
      </c>
      <c r="C61" s="95">
        <f t="shared" si="4"/>
        <v>1848003.0111208486</v>
      </c>
      <c r="D61" s="95">
        <f t="shared" si="7"/>
        <v>18480.030111208485</v>
      </c>
      <c r="E61" s="95">
        <f t="shared" si="6"/>
        <v>197256.51195434219</v>
      </c>
      <c r="F61" s="95">
        <f t="shared" si="5"/>
        <v>215736.54206555069</v>
      </c>
      <c r="G61" s="95">
        <f t="shared" si="3"/>
        <v>1650746.4991665063</v>
      </c>
    </row>
    <row r="62" spans="1:9" x14ac:dyDescent="0.2">
      <c r="A62" s="93"/>
      <c r="B62" s="93" t="s">
        <v>103</v>
      </c>
      <c r="C62" s="95">
        <f t="shared" si="4"/>
        <v>1650746.4991665063</v>
      </c>
      <c r="D62" s="95">
        <f t="shared" si="7"/>
        <v>16507.464991665063</v>
      </c>
      <c r="E62" s="95">
        <f t="shared" si="6"/>
        <v>199229.07707388562</v>
      </c>
      <c r="F62" s="95">
        <f t="shared" si="5"/>
        <v>215736.54206555069</v>
      </c>
      <c r="G62" s="95">
        <f t="shared" si="3"/>
        <v>1451517.4220926207</v>
      </c>
    </row>
    <row r="63" spans="1:9" x14ac:dyDescent="0.2">
      <c r="A63" s="93"/>
      <c r="B63" s="93" t="s">
        <v>104</v>
      </c>
      <c r="C63" s="95">
        <f t="shared" si="4"/>
        <v>1451517.4220926207</v>
      </c>
      <c r="D63" s="95">
        <f t="shared" si="7"/>
        <v>14515.174220926207</v>
      </c>
      <c r="E63" s="95">
        <f t="shared" si="6"/>
        <v>201221.36784462447</v>
      </c>
      <c r="F63" s="95">
        <f t="shared" si="5"/>
        <v>215736.54206555069</v>
      </c>
      <c r="G63" s="95">
        <f t="shared" si="3"/>
        <v>1250296.0542479963</v>
      </c>
    </row>
    <row r="64" spans="1:9" x14ac:dyDescent="0.2">
      <c r="A64" s="93"/>
      <c r="B64" s="93" t="s">
        <v>105</v>
      </c>
      <c r="C64" s="95">
        <f t="shared" si="4"/>
        <v>1250296.0542479963</v>
      </c>
      <c r="D64" s="95">
        <f t="shared" si="7"/>
        <v>12502.960542479961</v>
      </c>
      <c r="E64" s="95">
        <f t="shared" si="6"/>
        <v>203233.58152307072</v>
      </c>
      <c r="F64" s="95">
        <f t="shared" si="5"/>
        <v>215736.54206555069</v>
      </c>
      <c r="G64" s="95">
        <f t="shared" si="3"/>
        <v>1047062.4727249256</v>
      </c>
    </row>
    <row r="65" spans="1:9" x14ac:dyDescent="0.2">
      <c r="A65" s="93"/>
      <c r="B65" s="93" t="s">
        <v>106</v>
      </c>
      <c r="C65" s="95">
        <f t="shared" si="4"/>
        <v>1047062.4727249256</v>
      </c>
      <c r="D65" s="95">
        <f t="shared" si="7"/>
        <v>10470.624727249256</v>
      </c>
      <c r="E65" s="95">
        <f t="shared" si="6"/>
        <v>205265.91733830143</v>
      </c>
      <c r="F65" s="95">
        <f t="shared" si="5"/>
        <v>215736.54206555069</v>
      </c>
      <c r="G65" s="95">
        <f t="shared" si="3"/>
        <v>841796.55538662418</v>
      </c>
    </row>
    <row r="66" spans="1:9" x14ac:dyDescent="0.2">
      <c r="A66" s="93"/>
      <c r="B66" s="93" t="s">
        <v>107</v>
      </c>
      <c r="C66" s="95">
        <f t="shared" si="4"/>
        <v>841796.55538662418</v>
      </c>
      <c r="D66" s="95">
        <f t="shared" si="7"/>
        <v>8417.965553866241</v>
      </c>
      <c r="E66" s="95">
        <f t="shared" si="6"/>
        <v>207318.57651168446</v>
      </c>
      <c r="F66" s="95">
        <f t="shared" si="5"/>
        <v>215736.54206555069</v>
      </c>
      <c r="G66" s="95">
        <f t="shared" si="3"/>
        <v>634477.97887493973</v>
      </c>
    </row>
    <row r="67" spans="1:9" x14ac:dyDescent="0.2">
      <c r="A67" s="93"/>
      <c r="B67" s="93" t="s">
        <v>108</v>
      </c>
      <c r="C67" s="95">
        <f t="shared" si="4"/>
        <v>634477.97887493973</v>
      </c>
      <c r="D67" s="95">
        <f t="shared" si="7"/>
        <v>6344.7797887493971</v>
      </c>
      <c r="E67" s="95">
        <f t="shared" si="6"/>
        <v>209391.76227680128</v>
      </c>
      <c r="F67" s="95">
        <f t="shared" si="5"/>
        <v>215736.54206555069</v>
      </c>
      <c r="G67" s="95">
        <f t="shared" si="3"/>
        <v>425086.21659813845</v>
      </c>
    </row>
    <row r="68" spans="1:9" x14ac:dyDescent="0.2">
      <c r="A68" s="93"/>
      <c r="B68" s="93" t="s">
        <v>109</v>
      </c>
      <c r="C68" s="95">
        <f t="shared" si="4"/>
        <v>425086.21659813845</v>
      </c>
      <c r="D68" s="95">
        <f t="shared" si="7"/>
        <v>4250.8621659813844</v>
      </c>
      <c r="E68" s="95">
        <f t="shared" si="6"/>
        <v>211485.67989956931</v>
      </c>
      <c r="F68" s="95">
        <f t="shared" si="5"/>
        <v>215736.54206555069</v>
      </c>
      <c r="G68" s="95">
        <f t="shared" si="3"/>
        <v>213600.53669856914</v>
      </c>
    </row>
    <row r="69" spans="1:9" x14ac:dyDescent="0.2">
      <c r="A69" s="93"/>
      <c r="B69" s="93" t="s">
        <v>110</v>
      </c>
      <c r="C69" s="95">
        <f t="shared" si="4"/>
        <v>213600.53669856914</v>
      </c>
      <c r="D69" s="95">
        <f t="shared" si="7"/>
        <v>2136.0053669856911</v>
      </c>
      <c r="E69" s="95">
        <f t="shared" si="6"/>
        <v>213600.536698565</v>
      </c>
      <c r="F69" s="95">
        <f t="shared" si="5"/>
        <v>215736.54206555069</v>
      </c>
      <c r="G69" s="95">
        <f t="shared" si="3"/>
        <v>4.1327439248561859E-9</v>
      </c>
      <c r="H69" s="101"/>
      <c r="I69" s="101"/>
    </row>
    <row r="70" spans="1:9" hidden="1" x14ac:dyDescent="0.2">
      <c r="A70" s="93" t="s">
        <v>16</v>
      </c>
      <c r="B70" s="93" t="s">
        <v>111</v>
      </c>
      <c r="C70" s="95">
        <f t="shared" si="4"/>
        <v>4.1327439248561859E-9</v>
      </c>
      <c r="D70" s="95">
        <f t="shared" si="7"/>
        <v>4.1327439248561857E-11</v>
      </c>
      <c r="E70" s="95">
        <f t="shared" si="6"/>
        <v>-4.1327439248561857E-11</v>
      </c>
      <c r="F70" s="95"/>
      <c r="G70" s="95">
        <f t="shared" si="3"/>
        <v>4.1740713641047474E-9</v>
      </c>
    </row>
    <row r="71" spans="1:9" hidden="1" x14ac:dyDescent="0.2">
      <c r="A71" s="93"/>
      <c r="B71" s="93" t="s">
        <v>112</v>
      </c>
      <c r="C71" s="95">
        <f t="shared" si="4"/>
        <v>4.1740713641047474E-9</v>
      </c>
      <c r="D71" s="95">
        <f t="shared" si="7"/>
        <v>4.1740713641047469E-11</v>
      </c>
      <c r="E71" s="95">
        <f t="shared" si="6"/>
        <v>-4.1740713641047469E-11</v>
      </c>
      <c r="F71" s="95"/>
      <c r="G71" s="95">
        <f t="shared" si="3"/>
        <v>4.215812077745795E-9</v>
      </c>
    </row>
    <row r="72" spans="1:9" hidden="1" x14ac:dyDescent="0.2">
      <c r="A72" s="93"/>
      <c r="B72" s="93" t="s">
        <v>113</v>
      </c>
      <c r="C72" s="95">
        <f t="shared" si="4"/>
        <v>4.215812077745795E-9</v>
      </c>
      <c r="D72" s="95">
        <f t="shared" si="7"/>
        <v>4.2158120777457946E-11</v>
      </c>
      <c r="E72" s="95">
        <f t="shared" si="6"/>
        <v>-4.2158120777457946E-11</v>
      </c>
      <c r="F72" s="95"/>
      <c r="G72" s="95">
        <f t="shared" si="3"/>
        <v>4.2579701985232531E-9</v>
      </c>
    </row>
    <row r="73" spans="1:9" hidden="1" x14ac:dyDescent="0.2">
      <c r="A73" s="93"/>
      <c r="B73" s="93" t="s">
        <v>114</v>
      </c>
      <c r="C73" s="95">
        <f t="shared" si="4"/>
        <v>4.2579701985232531E-9</v>
      </c>
      <c r="D73" s="95">
        <f t="shared" si="7"/>
        <v>4.2579701985232525E-11</v>
      </c>
      <c r="E73" s="95">
        <f t="shared" si="6"/>
        <v>-4.2579701985232525E-11</v>
      </c>
      <c r="F73" s="95"/>
      <c r="G73" s="95">
        <f t="shared" si="3"/>
        <v>4.3005499005084857E-9</v>
      </c>
    </row>
    <row r="74" spans="1:9" hidden="1" x14ac:dyDescent="0.2">
      <c r="A74" s="93"/>
      <c r="B74" s="93" t="s">
        <v>115</v>
      </c>
      <c r="C74" s="95">
        <f t="shared" si="4"/>
        <v>4.3005499005084857E-9</v>
      </c>
      <c r="D74" s="95">
        <f t="shared" ref="D74:D93" si="8">C74*$D$5/12</f>
        <v>4.3005499005084849E-11</v>
      </c>
      <c r="E74" s="95">
        <f t="shared" si="6"/>
        <v>-4.3005499005084849E-11</v>
      </c>
      <c r="F74" s="95"/>
      <c r="G74" s="95">
        <f t="shared" si="3"/>
        <v>4.3435553995135703E-9</v>
      </c>
    </row>
    <row r="75" spans="1:9" hidden="1" x14ac:dyDescent="0.2">
      <c r="A75" s="93"/>
      <c r="B75" s="93" t="s">
        <v>116</v>
      </c>
      <c r="C75" s="95">
        <f t="shared" si="4"/>
        <v>4.3435553995135703E-9</v>
      </c>
      <c r="D75" s="95">
        <f t="shared" si="8"/>
        <v>4.34355539951357E-11</v>
      </c>
      <c r="E75" s="95">
        <f t="shared" si="6"/>
        <v>-4.34355539951357E-11</v>
      </c>
      <c r="F75" s="95"/>
      <c r="G75" s="95">
        <f t="shared" ref="G75:G93" si="9">C75-E75</f>
        <v>4.386990953508706E-9</v>
      </c>
    </row>
    <row r="76" spans="1:9" hidden="1" x14ac:dyDescent="0.2">
      <c r="A76" s="93"/>
      <c r="B76" s="93" t="s">
        <v>117</v>
      </c>
      <c r="C76" s="95">
        <f t="shared" ref="C76:C93" si="10">G75</f>
        <v>4.386990953508706E-9</v>
      </c>
      <c r="D76" s="95">
        <f t="shared" si="8"/>
        <v>4.3869909535087059E-11</v>
      </c>
      <c r="E76" s="95">
        <f t="shared" si="6"/>
        <v>-4.3869909535087059E-11</v>
      </c>
      <c r="F76" s="95"/>
      <c r="G76" s="95">
        <f t="shared" si="9"/>
        <v>4.4308608630437933E-9</v>
      </c>
    </row>
    <row r="77" spans="1:9" hidden="1" x14ac:dyDescent="0.2">
      <c r="A77" s="93"/>
      <c r="B77" s="93" t="s">
        <v>118</v>
      </c>
      <c r="C77" s="95">
        <f t="shared" si="10"/>
        <v>4.4308608630437933E-9</v>
      </c>
      <c r="D77" s="95">
        <f t="shared" si="8"/>
        <v>4.4308608630437931E-11</v>
      </c>
      <c r="E77" s="95">
        <f t="shared" si="6"/>
        <v>-4.4308608630437931E-11</v>
      </c>
      <c r="F77" s="95"/>
      <c r="G77" s="95">
        <f t="shared" si="9"/>
        <v>4.4751694716742312E-9</v>
      </c>
    </row>
    <row r="78" spans="1:9" hidden="1" x14ac:dyDescent="0.2">
      <c r="A78" s="93"/>
      <c r="B78" s="93" t="s">
        <v>119</v>
      </c>
      <c r="C78" s="95">
        <f t="shared" si="10"/>
        <v>4.4751694716742312E-9</v>
      </c>
      <c r="D78" s="95">
        <f t="shared" si="8"/>
        <v>4.475169471674231E-11</v>
      </c>
      <c r="E78" s="95">
        <f t="shared" si="6"/>
        <v>-4.475169471674231E-11</v>
      </c>
      <c r="F78" s="95"/>
      <c r="G78" s="95">
        <f t="shared" si="9"/>
        <v>4.5199211663909732E-9</v>
      </c>
    </row>
    <row r="79" spans="1:9" hidden="1" x14ac:dyDescent="0.2">
      <c r="A79" s="93"/>
      <c r="B79" s="93" t="s">
        <v>120</v>
      </c>
      <c r="C79" s="95">
        <f t="shared" si="10"/>
        <v>4.5199211663909732E-9</v>
      </c>
      <c r="D79" s="95">
        <f t="shared" si="8"/>
        <v>4.5199211663909732E-11</v>
      </c>
      <c r="E79" s="95">
        <f t="shared" si="6"/>
        <v>-4.5199211663909732E-11</v>
      </c>
      <c r="F79" s="95"/>
      <c r="G79" s="95">
        <f t="shared" si="9"/>
        <v>4.5651203780548828E-9</v>
      </c>
    </row>
    <row r="80" spans="1:9" hidden="1" x14ac:dyDescent="0.2">
      <c r="A80" s="93"/>
      <c r="B80" s="93" t="s">
        <v>121</v>
      </c>
      <c r="C80" s="95">
        <f t="shared" si="10"/>
        <v>4.5651203780548828E-9</v>
      </c>
      <c r="D80" s="95">
        <f t="shared" si="8"/>
        <v>4.5651203780548824E-11</v>
      </c>
      <c r="E80" s="95">
        <f t="shared" si="6"/>
        <v>-4.5651203780548824E-11</v>
      </c>
      <c r="F80" s="95"/>
      <c r="G80" s="95">
        <f t="shared" si="9"/>
        <v>4.6107715818354313E-9</v>
      </c>
    </row>
    <row r="81" spans="1:9" hidden="1" x14ac:dyDescent="0.2">
      <c r="A81" s="93"/>
      <c r="B81" s="93" t="s">
        <v>122</v>
      </c>
      <c r="C81" s="95">
        <f t="shared" si="10"/>
        <v>4.6107715818354313E-9</v>
      </c>
      <c r="D81" s="95">
        <f t="shared" si="8"/>
        <v>4.6107715818354307E-11</v>
      </c>
      <c r="E81" s="95">
        <f t="shared" ref="E81:E93" si="11">F81-D81</f>
        <v>-4.6107715818354307E-11</v>
      </c>
      <c r="F81" s="95"/>
      <c r="G81" s="95">
        <f t="shared" si="9"/>
        <v>4.6568792976537853E-9</v>
      </c>
      <c r="H81" s="101"/>
      <c r="I81" s="101"/>
    </row>
    <row r="82" spans="1:9" hidden="1" x14ac:dyDescent="0.2">
      <c r="A82" s="93" t="s">
        <v>276</v>
      </c>
      <c r="B82" s="93" t="s">
        <v>211</v>
      </c>
      <c r="C82" s="95">
        <f t="shared" si="10"/>
        <v>4.6568792976537853E-9</v>
      </c>
      <c r="D82" s="95">
        <f t="shared" si="8"/>
        <v>4.6568792976537851E-11</v>
      </c>
      <c r="E82" s="95">
        <f t="shared" si="11"/>
        <v>-4.6568792976537851E-11</v>
      </c>
      <c r="F82" s="95"/>
      <c r="G82" s="95">
        <f t="shared" si="9"/>
        <v>4.7034480906303231E-9</v>
      </c>
    </row>
    <row r="83" spans="1:9" hidden="1" x14ac:dyDescent="0.2">
      <c r="A83" s="93"/>
      <c r="B83" s="93" t="s">
        <v>212</v>
      </c>
      <c r="C83" s="95">
        <f t="shared" si="10"/>
        <v>4.7034480906303231E-9</v>
      </c>
      <c r="D83" s="95">
        <f t="shared" si="8"/>
        <v>4.7034480906303229E-11</v>
      </c>
      <c r="E83" s="95">
        <f t="shared" si="11"/>
        <v>-4.7034480906303229E-11</v>
      </c>
      <c r="F83" s="95"/>
      <c r="G83" s="95">
        <f t="shared" si="9"/>
        <v>4.7504825715366261E-9</v>
      </c>
    </row>
    <row r="84" spans="1:9" hidden="1" x14ac:dyDescent="0.2">
      <c r="A84" s="93"/>
      <c r="B84" s="93" t="s">
        <v>213</v>
      </c>
      <c r="C84" s="95">
        <f t="shared" si="10"/>
        <v>4.7504825715366261E-9</v>
      </c>
      <c r="D84" s="95">
        <f t="shared" si="8"/>
        <v>4.7504825715366264E-11</v>
      </c>
      <c r="E84" s="95">
        <f t="shared" si="11"/>
        <v>-4.7504825715366264E-11</v>
      </c>
      <c r="F84" s="95"/>
      <c r="G84" s="95">
        <f t="shared" si="9"/>
        <v>4.7979873972519922E-9</v>
      </c>
    </row>
    <row r="85" spans="1:9" hidden="1" x14ac:dyDescent="0.2">
      <c r="A85" s="93"/>
      <c r="B85" s="93" t="s">
        <v>214</v>
      </c>
      <c r="C85" s="95">
        <f t="shared" si="10"/>
        <v>4.7979873972519922E-9</v>
      </c>
      <c r="D85" s="95">
        <f t="shared" si="8"/>
        <v>4.797987397251992E-11</v>
      </c>
      <c r="E85" s="95">
        <f t="shared" si="11"/>
        <v>-4.797987397251992E-11</v>
      </c>
      <c r="F85" s="95"/>
      <c r="G85" s="95">
        <f t="shared" si="9"/>
        <v>4.8459672712245119E-9</v>
      </c>
    </row>
    <row r="86" spans="1:9" hidden="1" x14ac:dyDescent="0.2">
      <c r="A86" s="93"/>
      <c r="B86" s="93" t="s">
        <v>215</v>
      </c>
      <c r="C86" s="95">
        <f t="shared" si="10"/>
        <v>4.8459672712245119E-9</v>
      </c>
      <c r="D86" s="95">
        <f t="shared" si="8"/>
        <v>4.8459672712245112E-11</v>
      </c>
      <c r="E86" s="95">
        <f t="shared" si="11"/>
        <v>-4.8459672712245112E-11</v>
      </c>
      <c r="F86" s="95"/>
      <c r="G86" s="95">
        <f t="shared" si="9"/>
        <v>4.8944269439367573E-9</v>
      </c>
    </row>
    <row r="87" spans="1:9" hidden="1" x14ac:dyDescent="0.2">
      <c r="A87" s="93"/>
      <c r="B87" s="93" t="s">
        <v>216</v>
      </c>
      <c r="C87" s="95">
        <f t="shared" si="10"/>
        <v>4.8944269439367573E-9</v>
      </c>
      <c r="D87" s="95">
        <f t="shared" si="8"/>
        <v>4.8944269439367571E-11</v>
      </c>
      <c r="E87" s="95">
        <f t="shared" si="11"/>
        <v>-4.8944269439367571E-11</v>
      </c>
      <c r="F87" s="95"/>
      <c r="G87" s="95">
        <f t="shared" si="9"/>
        <v>4.9433712133761251E-9</v>
      </c>
    </row>
    <row r="88" spans="1:9" hidden="1" x14ac:dyDescent="0.2">
      <c r="A88" s="93"/>
      <c r="B88" s="93" t="s">
        <v>217</v>
      </c>
      <c r="C88" s="95">
        <f t="shared" si="10"/>
        <v>4.9433712133761251E-9</v>
      </c>
      <c r="D88" s="95">
        <f t="shared" si="8"/>
        <v>4.9433712133761252E-11</v>
      </c>
      <c r="E88" s="95">
        <f t="shared" si="11"/>
        <v>-4.9433712133761252E-11</v>
      </c>
      <c r="F88" s="95"/>
      <c r="G88" s="95">
        <f t="shared" si="9"/>
        <v>4.9928049255098864E-9</v>
      </c>
    </row>
    <row r="89" spans="1:9" hidden="1" x14ac:dyDescent="0.2">
      <c r="A89" s="93"/>
      <c r="B89" s="93" t="s">
        <v>218</v>
      </c>
      <c r="C89" s="95">
        <f t="shared" si="10"/>
        <v>4.9928049255098864E-9</v>
      </c>
      <c r="D89" s="95">
        <f t="shared" si="8"/>
        <v>4.9928049255098863E-11</v>
      </c>
      <c r="E89" s="95">
        <f t="shared" si="11"/>
        <v>-4.9928049255098863E-11</v>
      </c>
      <c r="F89" s="95"/>
      <c r="G89" s="95">
        <f t="shared" si="9"/>
        <v>5.0427329747649853E-9</v>
      </c>
    </row>
    <row r="90" spans="1:9" hidden="1" x14ac:dyDescent="0.2">
      <c r="A90" s="93"/>
      <c r="B90" s="93" t="s">
        <v>219</v>
      </c>
      <c r="C90" s="95">
        <f t="shared" si="10"/>
        <v>5.0427329747649853E-9</v>
      </c>
      <c r="D90" s="95">
        <f t="shared" si="8"/>
        <v>5.0427329747649856E-11</v>
      </c>
      <c r="E90" s="95">
        <f t="shared" si="11"/>
        <v>-5.0427329747649856E-11</v>
      </c>
      <c r="F90" s="95"/>
      <c r="G90" s="95">
        <f t="shared" si="9"/>
        <v>5.0931603045126353E-9</v>
      </c>
    </row>
    <row r="91" spans="1:9" hidden="1" x14ac:dyDescent="0.2">
      <c r="A91" s="93"/>
      <c r="B91" s="93" t="s">
        <v>220</v>
      </c>
      <c r="C91" s="95">
        <f t="shared" si="10"/>
        <v>5.0931603045126353E-9</v>
      </c>
      <c r="D91" s="95">
        <f t="shared" si="8"/>
        <v>5.0931603045126354E-11</v>
      </c>
      <c r="E91" s="95">
        <f t="shared" si="11"/>
        <v>-5.0931603045126354E-11</v>
      </c>
      <c r="F91" s="95"/>
      <c r="G91" s="95">
        <f t="shared" si="9"/>
        <v>5.1440919075577614E-9</v>
      </c>
    </row>
    <row r="92" spans="1:9" hidden="1" x14ac:dyDescent="0.2">
      <c r="A92" s="93"/>
      <c r="B92" s="93" t="s">
        <v>221</v>
      </c>
      <c r="C92" s="95">
        <f t="shared" si="10"/>
        <v>5.1440919075577614E-9</v>
      </c>
      <c r="D92" s="95">
        <f t="shared" si="8"/>
        <v>5.1440919075577612E-11</v>
      </c>
      <c r="E92" s="95">
        <f t="shared" si="11"/>
        <v>-5.1440919075577612E-11</v>
      </c>
      <c r="F92" s="95"/>
      <c r="G92" s="95">
        <f t="shared" si="9"/>
        <v>5.1955328266333387E-9</v>
      </c>
    </row>
    <row r="93" spans="1:9" hidden="1" x14ac:dyDescent="0.2">
      <c r="A93" s="93"/>
      <c r="B93" s="93" t="s">
        <v>222</v>
      </c>
      <c r="C93" s="95">
        <f t="shared" si="10"/>
        <v>5.1955328266333387E-9</v>
      </c>
      <c r="D93" s="95">
        <f t="shared" si="8"/>
        <v>5.1955328266333383E-11</v>
      </c>
      <c r="E93" s="95">
        <f t="shared" si="11"/>
        <v>-5.1955328266333383E-11</v>
      </c>
      <c r="F93" s="95"/>
      <c r="G93" s="95">
        <f t="shared" si="9"/>
        <v>5.2474881548996719E-9</v>
      </c>
    </row>
    <row r="94" spans="1:9" x14ac:dyDescent="0.2">
      <c r="D94" s="101">
        <f>SUM(D10:D93)</f>
        <v>3219966.215622941</v>
      </c>
      <c r="E94" s="101">
        <f>SUM(E10:E93)</f>
        <v>8967879.8467199989</v>
      </c>
    </row>
    <row r="95" spans="1:9" ht="39.950000000000003" customHeight="1" x14ac:dyDescent="0.2">
      <c r="A95" s="446" t="s">
        <v>405</v>
      </c>
      <c r="B95" s="446"/>
      <c r="C95" s="446"/>
      <c r="D95" s="446"/>
      <c r="E95" s="446"/>
      <c r="F95" s="446"/>
      <c r="G95" s="446"/>
      <c r="H95" s="446"/>
    </row>
    <row r="96" spans="1:9" x14ac:dyDescent="0.2">
      <c r="A96" s="92" t="s">
        <v>527</v>
      </c>
    </row>
    <row r="97" spans="1:2" x14ac:dyDescent="0.2">
      <c r="A97" s="92">
        <v>1</v>
      </c>
      <c r="B97" s="92" t="s">
        <v>528</v>
      </c>
    </row>
    <row r="98" spans="1:2" x14ac:dyDescent="0.2">
      <c r="A98" s="92">
        <v>2</v>
      </c>
      <c r="B98" s="92" t="s">
        <v>529</v>
      </c>
    </row>
  </sheetData>
  <mergeCells count="2">
    <mergeCell ref="A2:G2"/>
    <mergeCell ref="A95:H95"/>
  </mergeCells>
  <pageMargins left="0.7" right="0.7" top="0.75" bottom="0.75" header="0.3" footer="0.3"/>
  <pageSetup scale="5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2:V71"/>
  <sheetViews>
    <sheetView view="pageBreakPreview" topLeftCell="D30" zoomScale="80" zoomScaleSheetLayoutView="80" workbookViewId="0">
      <selection activeCell="E56" sqref="E56:K57"/>
    </sheetView>
  </sheetViews>
  <sheetFormatPr defaultColWidth="8.7421875" defaultRowHeight="15" x14ac:dyDescent="0.2"/>
  <cols>
    <col min="1" max="1" width="8.7421875" style="92"/>
    <col min="2" max="2" width="7.53125" style="92" bestFit="1" customWidth="1"/>
    <col min="3" max="3" width="30.53515625" style="92" customWidth="1"/>
    <col min="4" max="4" width="16.8125" style="92" bestFit="1" customWidth="1"/>
    <col min="5" max="5" width="12.5078125" style="92" bestFit="1" customWidth="1"/>
    <col min="6" max="6" width="16.0078125" style="92" bestFit="1" customWidth="1"/>
    <col min="7" max="7" width="20.4453125" style="92" bestFit="1" customWidth="1"/>
    <col min="8" max="8" width="23.13671875" style="92" bestFit="1" customWidth="1"/>
    <col min="9" max="9" width="26.76953125" style="92" bestFit="1" customWidth="1"/>
    <col min="10" max="10" width="29.45703125" style="92" bestFit="1" customWidth="1"/>
    <col min="11" max="11" width="32.1484375" style="92" bestFit="1" customWidth="1"/>
    <col min="12" max="13" width="8.7421875" style="92"/>
    <col min="14" max="14" width="23.9453125" style="92" hidden="1" customWidth="1"/>
    <col min="15" max="15" width="11.8359375" style="92" hidden="1" customWidth="1"/>
    <col min="16" max="16" width="9.55078125" style="92" hidden="1" customWidth="1"/>
    <col min="17" max="17" width="10.76171875" style="92" hidden="1" customWidth="1"/>
    <col min="18" max="18" width="11.296875" style="92" hidden="1" customWidth="1"/>
    <col min="19" max="20" width="0" style="92" hidden="1" customWidth="1"/>
    <col min="21" max="21" width="23.9453125" style="92" hidden="1" customWidth="1"/>
    <col min="22" max="22" width="12.5078125" style="92" hidden="1" customWidth="1"/>
    <col min="23" max="23" width="0" style="92" hidden="1" customWidth="1"/>
    <col min="24" max="16384" width="8.7421875" style="92"/>
  </cols>
  <sheetData>
    <row r="2" spans="3:22" ht="18.75" x14ac:dyDescent="0.25">
      <c r="C2" s="427" t="s">
        <v>551</v>
      </c>
      <c r="D2" s="427"/>
      <c r="E2" s="427"/>
      <c r="F2" s="427"/>
      <c r="G2" s="427"/>
      <c r="H2" s="427"/>
      <c r="I2" s="427"/>
      <c r="J2" s="427"/>
      <c r="K2" s="427"/>
      <c r="L2" s="253"/>
    </row>
    <row r="4" spans="3:22" x14ac:dyDescent="0.2">
      <c r="C4" s="123" t="s">
        <v>0</v>
      </c>
      <c r="D4" s="123"/>
      <c r="E4" s="139" t="s">
        <v>2</v>
      </c>
      <c r="F4" s="139" t="s">
        <v>3</v>
      </c>
      <c r="G4" s="139" t="s">
        <v>4</v>
      </c>
      <c r="H4" s="139" t="s">
        <v>5</v>
      </c>
      <c r="I4" s="139" t="s">
        <v>6</v>
      </c>
      <c r="J4" s="139" t="s">
        <v>168</v>
      </c>
      <c r="K4" s="139" t="s">
        <v>167</v>
      </c>
      <c r="N4" s="254"/>
      <c r="O4" s="254"/>
      <c r="P4" s="254"/>
      <c r="Q4" s="254"/>
      <c r="R4" s="254"/>
      <c r="S4" s="254"/>
      <c r="T4" s="254"/>
      <c r="U4" s="254"/>
      <c r="V4" s="254"/>
    </row>
    <row r="5" spans="3:22" x14ac:dyDescent="0.2">
      <c r="C5" s="93" t="s">
        <v>359</v>
      </c>
      <c r="D5" s="93"/>
      <c r="E5" s="93"/>
      <c r="F5" s="93"/>
      <c r="G5" s="93"/>
      <c r="H5" s="93"/>
      <c r="I5" s="93"/>
      <c r="J5" s="93"/>
      <c r="K5" s="93"/>
      <c r="N5" s="448" t="s">
        <v>524</v>
      </c>
      <c r="O5" s="448"/>
      <c r="P5" s="448"/>
      <c r="Q5" s="448"/>
      <c r="R5" s="448"/>
      <c r="S5" s="254"/>
      <c r="T5" s="254"/>
      <c r="U5" s="448" t="s">
        <v>525</v>
      </c>
      <c r="V5" s="448"/>
    </row>
    <row r="6" spans="3:22" hidden="1" x14ac:dyDescent="0.2">
      <c r="C6" s="93" t="s">
        <v>360</v>
      </c>
      <c r="D6" s="125"/>
      <c r="E6" s="93"/>
      <c r="F6" s="95">
        <f t="shared" ref="F6:K9" si="0">E15</f>
        <v>0</v>
      </c>
      <c r="G6" s="95">
        <f t="shared" si="0"/>
        <v>0</v>
      </c>
      <c r="H6" s="95">
        <f t="shared" si="0"/>
        <v>0</v>
      </c>
      <c r="I6" s="95">
        <f t="shared" si="0"/>
        <v>0</v>
      </c>
      <c r="J6" s="95">
        <f t="shared" si="0"/>
        <v>0</v>
      </c>
      <c r="K6" s="95">
        <f t="shared" si="0"/>
        <v>0</v>
      </c>
      <c r="N6" s="447" t="s">
        <v>526</v>
      </c>
      <c r="O6" s="447"/>
      <c r="P6" s="447"/>
      <c r="Q6" s="447"/>
      <c r="R6" s="447"/>
      <c r="S6" s="254"/>
      <c r="T6" s="254"/>
      <c r="U6" s="447" t="s">
        <v>526</v>
      </c>
      <c r="V6" s="447"/>
    </row>
    <row r="7" spans="3:22" x14ac:dyDescent="0.2">
      <c r="C7" s="93" t="s">
        <v>884</v>
      </c>
      <c r="D7" s="125"/>
      <c r="E7" s="93"/>
      <c r="F7" s="95">
        <f t="shared" si="0"/>
        <v>675908.201</v>
      </c>
      <c r="G7" s="95">
        <f t="shared" si="0"/>
        <v>779445.36705</v>
      </c>
      <c r="H7" s="95">
        <f t="shared" si="0"/>
        <v>891646.47920250031</v>
      </c>
      <c r="I7" s="95">
        <f t="shared" si="0"/>
        <v>1013119.0891526254</v>
      </c>
      <c r="J7" s="95">
        <f t="shared" si="0"/>
        <v>1144509.8438997569</v>
      </c>
      <c r="K7" s="95">
        <f t="shared" si="0"/>
        <v>1286506.8763987196</v>
      </c>
      <c r="N7" s="255" t="s">
        <v>0</v>
      </c>
      <c r="O7" s="255" t="s">
        <v>162</v>
      </c>
      <c r="P7" s="255" t="s">
        <v>163</v>
      </c>
      <c r="Q7" s="255" t="s">
        <v>309</v>
      </c>
      <c r="R7" s="255" t="s">
        <v>310</v>
      </c>
      <c r="S7" s="254"/>
      <c r="T7" s="254"/>
      <c r="U7" s="256" t="s">
        <v>0</v>
      </c>
      <c r="V7" s="256" t="s">
        <v>480</v>
      </c>
    </row>
    <row r="8" spans="3:22" hidden="1" x14ac:dyDescent="0.2">
      <c r="C8" s="93" t="s">
        <v>542</v>
      </c>
      <c r="D8" s="125"/>
      <c r="E8" s="93"/>
      <c r="F8" s="95">
        <f t="shared" si="0"/>
        <v>0</v>
      </c>
      <c r="G8" s="95">
        <f t="shared" si="0"/>
        <v>0</v>
      </c>
      <c r="H8" s="95">
        <f t="shared" si="0"/>
        <v>0</v>
      </c>
      <c r="I8" s="95">
        <f t="shared" si="0"/>
        <v>0</v>
      </c>
      <c r="J8" s="95">
        <f t="shared" si="0"/>
        <v>0</v>
      </c>
      <c r="K8" s="95">
        <f t="shared" si="0"/>
        <v>0</v>
      </c>
      <c r="N8" s="257" t="s">
        <v>361</v>
      </c>
      <c r="O8" s="257">
        <f>'13.Facility 2 Grain Processing'!C154</f>
        <v>0</v>
      </c>
      <c r="P8" s="257">
        <f>'13.Facility 2 Grain Processing'!C155</f>
        <v>6500</v>
      </c>
      <c r="Q8" s="257">
        <f>'13.Facility 2 Grain Processing'!C156</f>
        <v>7500</v>
      </c>
      <c r="R8" s="257">
        <f>'13.Facility 2 Grain Processing'!C157</f>
        <v>11800</v>
      </c>
      <c r="S8" s="254"/>
      <c r="T8" s="254"/>
      <c r="U8" s="257" t="s">
        <v>336</v>
      </c>
      <c r="V8" s="257">
        <f>'17.Facility 6 Horti Processing '!C163</f>
        <v>6000</v>
      </c>
    </row>
    <row r="9" spans="3:22" hidden="1" x14ac:dyDescent="0.2">
      <c r="C9" s="93" t="str">
        <f>C18</f>
        <v xml:space="preserve">Horticulture Processing </v>
      </c>
      <c r="D9" s="93"/>
      <c r="E9" s="93"/>
      <c r="F9" s="95">
        <f>E18</f>
        <v>0</v>
      </c>
      <c r="G9" s="95">
        <f t="shared" si="0"/>
        <v>0</v>
      </c>
      <c r="H9" s="95">
        <f t="shared" si="0"/>
        <v>0</v>
      </c>
      <c r="I9" s="95">
        <f t="shared" si="0"/>
        <v>0</v>
      </c>
      <c r="J9" s="95">
        <f t="shared" si="0"/>
        <v>0</v>
      </c>
      <c r="K9" s="95">
        <f t="shared" si="0"/>
        <v>0</v>
      </c>
      <c r="N9" s="257" t="e">
        <f>'13.Facility 2 Grain Processing'!#REF!</f>
        <v>#REF!</v>
      </c>
      <c r="O9" s="257" t="e">
        <f>('13.Facility 2 Grain Processing'!#REF!*'13.Facility 2 Grain Processing'!#REF!/1000)*100</f>
        <v>#REF!</v>
      </c>
      <c r="P9" s="257" t="e">
        <f>O9</f>
        <v>#REF!</v>
      </c>
      <c r="Q9" s="257" t="e">
        <f t="shared" ref="Q9:R9" si="1">P9</f>
        <v>#REF!</v>
      </c>
      <c r="R9" s="257" t="e">
        <f t="shared" si="1"/>
        <v>#REF!</v>
      </c>
      <c r="S9" s="254"/>
      <c r="T9" s="254"/>
      <c r="U9" s="257" t="str">
        <f>'17.Facility 6 Horti Processing '!A164</f>
        <v>Other Consumbales</v>
      </c>
      <c r="V9" s="258">
        <f>'17.Facility 6 Horti Processing '!C164</f>
        <v>2000</v>
      </c>
    </row>
    <row r="10" spans="3:22" hidden="1" x14ac:dyDescent="0.2">
      <c r="C10" s="93"/>
      <c r="D10" s="93"/>
      <c r="E10" s="93"/>
      <c r="F10" s="95"/>
      <c r="G10" s="95"/>
      <c r="H10" s="95"/>
      <c r="I10" s="95"/>
      <c r="J10" s="95"/>
      <c r="K10" s="95"/>
      <c r="N10" s="257" t="str">
        <f>'13.Facility 2 Grain Processing'!A159</f>
        <v xml:space="preserve">Daily Labour </v>
      </c>
      <c r="O10" s="259">
        <f>('13.Facility 2 Grain Processing'!B159*'13.Facility 2 Grain Processing'!C159)/('13.Facility 2 Grain Processing'!B5*'13.Facility 2 Grain Processing'!B6)</f>
        <v>0</v>
      </c>
      <c r="P10" s="259">
        <f>O10</f>
        <v>0</v>
      </c>
      <c r="Q10" s="259">
        <f t="shared" ref="Q10:R10" si="2">P10</f>
        <v>0</v>
      </c>
      <c r="R10" s="259">
        <f t="shared" si="2"/>
        <v>0</v>
      </c>
      <c r="S10" s="254"/>
      <c r="T10" s="254"/>
      <c r="U10" s="257" t="str">
        <f>'17.Facility 6 Horti Processing '!A165</f>
        <v xml:space="preserve">Daily Labour </v>
      </c>
      <c r="V10" s="258">
        <f>'17.Facility 6 Horti Processing '!B165*'17.Facility 6 Horti Processing '!C165/('17.Facility 6 Horti Processing '!B5*'17.Facility 6 Horti Processing '!B6)</f>
        <v>187.5</v>
      </c>
    </row>
    <row r="11" spans="3:22" x14ac:dyDescent="0.2">
      <c r="C11" s="93"/>
      <c r="D11" s="93"/>
      <c r="E11" s="93"/>
      <c r="F11" s="95"/>
      <c r="G11" s="95"/>
      <c r="H11" s="95"/>
      <c r="I11" s="95"/>
      <c r="J11" s="95"/>
      <c r="K11" s="95"/>
      <c r="N11" s="257" t="str">
        <f>'13.Facility 2 Grain Processing'!A160</f>
        <v>Electricity Charges</v>
      </c>
      <c r="O11" s="259">
        <f>('13.Facility 2 Grain Processing'!B160*'13.Facility 2 Grain Processing'!C160)/('13.Facility 2 Grain Processing'!B5*'13.Facility 2 Grain Processing'!B6)</f>
        <v>0</v>
      </c>
      <c r="P11" s="259">
        <f>O11</f>
        <v>0</v>
      </c>
      <c r="Q11" s="259">
        <f t="shared" ref="Q11" si="3">P11</f>
        <v>0</v>
      </c>
      <c r="R11" s="259">
        <f t="shared" ref="R11" si="4">Q11</f>
        <v>0</v>
      </c>
      <c r="S11" s="254"/>
      <c r="T11" s="254"/>
      <c r="U11" s="257" t="str">
        <f>'17.Facility 6 Horti Processing '!A166</f>
        <v>Electricity Charges</v>
      </c>
      <c r="V11" s="257">
        <f>'17.Facility 6 Horti Processing '!B166*'17.Facility 6 Horti Processing '!C166/('17.Facility 6 Horti Processing '!B5*'17.Facility 6 Horti Processing '!B6)</f>
        <v>0</v>
      </c>
    </row>
    <row r="12" spans="3:22" x14ac:dyDescent="0.2">
      <c r="C12" s="93" t="s">
        <v>1</v>
      </c>
      <c r="D12" s="93"/>
      <c r="E12" s="95"/>
      <c r="F12" s="95">
        <f t="shared" ref="F12:K12" si="5">SUM(F6:F11)</f>
        <v>675908.201</v>
      </c>
      <c r="G12" s="95">
        <f t="shared" si="5"/>
        <v>779445.36705</v>
      </c>
      <c r="H12" s="95">
        <f t="shared" si="5"/>
        <v>891646.47920250031</v>
      </c>
      <c r="I12" s="95">
        <f t="shared" si="5"/>
        <v>1013119.0891526254</v>
      </c>
      <c r="J12" s="95">
        <f t="shared" si="5"/>
        <v>1144509.8438997569</v>
      </c>
      <c r="K12" s="95">
        <f t="shared" si="5"/>
        <v>1286506.8763987196</v>
      </c>
      <c r="N12" s="257" t="str">
        <f>'13.Facility 2 Grain Processing'!A161</f>
        <v>Loading/Unloading Charges</v>
      </c>
      <c r="O12" s="257">
        <f>'13.Facility 2 Grain Processing'!C161*2</f>
        <v>0</v>
      </c>
      <c r="P12" s="257">
        <f>O12</f>
        <v>0</v>
      </c>
      <c r="Q12" s="257">
        <f t="shared" ref="Q12:R13" si="6">P12</f>
        <v>0</v>
      </c>
      <c r="R12" s="257">
        <f t="shared" si="6"/>
        <v>0</v>
      </c>
      <c r="S12" s="254"/>
      <c r="T12" s="254"/>
      <c r="U12" s="257" t="str">
        <f>'17.Facility 6 Horti Processing '!A167</f>
        <v>Loading/Unloading Charges</v>
      </c>
      <c r="V12" s="257">
        <f>'17.Facility 6 Horti Processing '!C167</f>
        <v>10</v>
      </c>
    </row>
    <row r="13" spans="3:22" x14ac:dyDescent="0.2">
      <c r="C13" s="93"/>
      <c r="D13" s="93"/>
      <c r="E13" s="93"/>
      <c r="F13" s="95"/>
      <c r="G13" s="95"/>
      <c r="H13" s="95"/>
      <c r="I13" s="95"/>
      <c r="J13" s="95"/>
      <c r="K13" s="95"/>
      <c r="N13" s="257" t="str">
        <f>'13.Facility 2 Grain Processing'!A163</f>
        <v>packaging Exp- Oil Packaging</v>
      </c>
      <c r="O13" s="257">
        <f>'13.Facility 2 Grain Processing'!C163*2</f>
        <v>0</v>
      </c>
      <c r="P13" s="257">
        <f>O13</f>
        <v>0</v>
      </c>
      <c r="Q13" s="257">
        <f t="shared" si="6"/>
        <v>0</v>
      </c>
      <c r="R13" s="257">
        <f t="shared" si="6"/>
        <v>0</v>
      </c>
      <c r="S13" s="254"/>
      <c r="T13" s="254"/>
      <c r="U13" s="257" t="str">
        <f>'17.Facility 6 Horti Processing '!A168</f>
        <v>packaging Exp</v>
      </c>
      <c r="V13" s="93">
        <f>'17.Facility 6 Horti Processing '!C168*100</f>
        <v>200</v>
      </c>
    </row>
    <row r="14" spans="3:22" x14ac:dyDescent="0.2">
      <c r="C14" s="98" t="s">
        <v>338</v>
      </c>
      <c r="D14" s="93"/>
      <c r="E14" s="93"/>
      <c r="F14" s="95"/>
      <c r="G14" s="95"/>
      <c r="H14" s="95"/>
      <c r="I14" s="95"/>
      <c r="J14" s="95"/>
      <c r="K14" s="95"/>
      <c r="N14" s="257"/>
      <c r="O14" s="93"/>
      <c r="P14" s="93"/>
      <c r="Q14" s="93"/>
      <c r="R14" s="93"/>
      <c r="S14" s="254"/>
      <c r="T14" s="254"/>
      <c r="U14" s="93"/>
      <c r="V14" s="93"/>
    </row>
    <row r="15" spans="3:22" hidden="1" x14ac:dyDescent="0.2">
      <c r="C15" s="93" t="str">
        <f>C6</f>
        <v>Agri Input</v>
      </c>
      <c r="D15" s="260">
        <v>0.05</v>
      </c>
      <c r="E15" s="95">
        <f>SUM('16.Facility 5 Agri Input'!D198:D259)*$D$15</f>
        <v>0</v>
      </c>
      <c r="F15" s="95">
        <f>SUM('16.Facility 5 Agri Input'!E198:E259)*$D$15</f>
        <v>0</v>
      </c>
      <c r="G15" s="95">
        <f>SUM('16.Facility 5 Agri Input'!F198:F259)*$D$15</f>
        <v>0</v>
      </c>
      <c r="H15" s="95">
        <f>SUM('16.Facility 5 Agri Input'!G198:G259)*$D$15</f>
        <v>0</v>
      </c>
      <c r="I15" s="95">
        <f>SUM('16.Facility 5 Agri Input'!H198:H259)*$D$15</f>
        <v>0</v>
      </c>
      <c r="J15" s="95">
        <f>SUM('16.Facility 5 Agri Input'!I198:I259)*$D$15</f>
        <v>0</v>
      </c>
      <c r="K15" s="95">
        <f>SUM('16.Facility 5 Agri Input'!J198:J259)*$D$15</f>
        <v>0</v>
      </c>
      <c r="N15" s="93"/>
      <c r="O15" s="93"/>
      <c r="P15" s="93"/>
      <c r="Q15" s="93"/>
      <c r="R15" s="93"/>
      <c r="U15" s="93"/>
      <c r="V15" s="93"/>
    </row>
    <row r="16" spans="3:22" x14ac:dyDescent="0.2">
      <c r="C16" s="93" t="str">
        <f>C7</f>
        <v>Fruit Processing</v>
      </c>
      <c r="D16" s="260">
        <v>0.02</v>
      </c>
      <c r="E16" s="95">
        <f>SUM('12.Facility 1 - Trading'!D195:D210)*$D$16</f>
        <v>675908.201</v>
      </c>
      <c r="F16" s="95">
        <f>SUM('12.Facility 1 - Trading'!E195:E210)*$D$16</f>
        <v>779445.36705</v>
      </c>
      <c r="G16" s="95">
        <f>SUM('12.Facility 1 - Trading'!F195:F210)*$D$16</f>
        <v>891646.47920250031</v>
      </c>
      <c r="H16" s="95">
        <f>SUM('12.Facility 1 - Trading'!G195:G210)*$D$16</f>
        <v>1013119.0891526254</v>
      </c>
      <c r="I16" s="95">
        <f>SUM('12.Facility 1 - Trading'!H195:H210)*$D$16</f>
        <v>1144509.8438997569</v>
      </c>
      <c r="J16" s="95">
        <f>SUM('12.Facility 1 - Trading'!I195:I210)*$D$16</f>
        <v>1286506.8763987196</v>
      </c>
      <c r="K16" s="95">
        <f>SUM('12.Facility 1 - Trading'!J195:J210)*$D$16</f>
        <v>1439842.33753783</v>
      </c>
      <c r="N16" s="255" t="s">
        <v>362</v>
      </c>
      <c r="O16" s="261" t="e">
        <f>SUM(O8:O13)</f>
        <v>#REF!</v>
      </c>
      <c r="P16" s="261" t="e">
        <f>SUM(P8:P13)</f>
        <v>#REF!</v>
      </c>
      <c r="Q16" s="261" t="e">
        <f>SUM(Q8:Q13)</f>
        <v>#REF!</v>
      </c>
      <c r="R16" s="261" t="e">
        <f>SUM(R8:R13)</f>
        <v>#REF!</v>
      </c>
      <c r="U16" s="255" t="s">
        <v>1</v>
      </c>
      <c r="V16" s="261">
        <f>SUM(V8:V15)</f>
        <v>8397.5</v>
      </c>
    </row>
    <row r="17" spans="1:18" hidden="1" x14ac:dyDescent="0.2">
      <c r="C17" s="93" t="str">
        <f>C8</f>
        <v xml:space="preserve">Grain Processing </v>
      </c>
      <c r="D17" s="260">
        <v>0.05</v>
      </c>
      <c r="E17" s="95">
        <f>SUM('13.Facility 2 Grain Processing'!D154:D169)*$D$17</f>
        <v>0</v>
      </c>
      <c r="F17" s="95">
        <f>SUM('13.Facility 2 Grain Processing'!E154:E169)*$D$17</f>
        <v>0</v>
      </c>
      <c r="G17" s="95">
        <f>SUM('13.Facility 2 Grain Processing'!F154:F169)*$D$17</f>
        <v>0</v>
      </c>
      <c r="H17" s="95">
        <f>SUM('13.Facility 2 Grain Processing'!G154:G169)*$D$17</f>
        <v>0</v>
      </c>
      <c r="I17" s="95">
        <f>SUM('13.Facility 2 Grain Processing'!H154:H169)*$D$17</f>
        <v>0</v>
      </c>
      <c r="J17" s="95">
        <f>SUM('13.Facility 2 Grain Processing'!I154:I169)*$D$17</f>
        <v>0</v>
      </c>
      <c r="K17" s="95">
        <f>SUM('13.Facility 2 Grain Processing'!J154:J169)*$D$17</f>
        <v>0</v>
      </c>
    </row>
    <row r="18" spans="1:18" hidden="1" x14ac:dyDescent="0.2">
      <c r="C18" s="93" t="s">
        <v>511</v>
      </c>
      <c r="D18" s="260">
        <v>0.05</v>
      </c>
      <c r="E18" s="95">
        <f>SUM('17.Facility 6 Horti Processing '!D163:D173)*$D$18</f>
        <v>0</v>
      </c>
      <c r="F18" s="95">
        <f>SUM('17.Facility 6 Horti Processing '!E163:E173)*$D$18</f>
        <v>0</v>
      </c>
      <c r="G18" s="95">
        <f>SUM('17.Facility 6 Horti Processing '!F163:F173)*$D$18</f>
        <v>0</v>
      </c>
      <c r="H18" s="95">
        <f>SUM('17.Facility 6 Horti Processing '!G163:G173)*$D$18</f>
        <v>0</v>
      </c>
      <c r="I18" s="95">
        <f>SUM('17.Facility 6 Horti Processing '!H163:H173)*$D$18</f>
        <v>0</v>
      </c>
      <c r="J18" s="95">
        <f>SUM('17.Facility 6 Horti Processing '!I163:I173)*$D$18</f>
        <v>0</v>
      </c>
      <c r="K18" s="95">
        <f>SUM('17.Facility 6 Horti Processing '!J163:J173)*$D$18</f>
        <v>0</v>
      </c>
    </row>
    <row r="19" spans="1:18" x14ac:dyDescent="0.2">
      <c r="C19" s="93"/>
      <c r="D19" s="262"/>
      <c r="E19" s="95"/>
      <c r="F19" s="95"/>
      <c r="G19" s="95"/>
      <c r="H19" s="95"/>
      <c r="I19" s="95"/>
      <c r="J19" s="95"/>
      <c r="K19" s="95"/>
    </row>
    <row r="20" spans="1:18" x14ac:dyDescent="0.2">
      <c r="C20" s="93"/>
      <c r="D20" s="93"/>
      <c r="E20" s="93"/>
      <c r="F20" s="95"/>
      <c r="G20" s="95"/>
      <c r="H20" s="95"/>
      <c r="I20" s="95"/>
      <c r="J20" s="95"/>
      <c r="K20" s="95"/>
    </row>
    <row r="21" spans="1:18" x14ac:dyDescent="0.2">
      <c r="C21" s="93" t="s">
        <v>1</v>
      </c>
      <c r="D21" s="93"/>
      <c r="E21" s="145">
        <f t="shared" ref="E21:K21" si="7">SUM(E15:E20)</f>
        <v>675908.201</v>
      </c>
      <c r="F21" s="145">
        <f t="shared" si="7"/>
        <v>779445.36705</v>
      </c>
      <c r="G21" s="145">
        <f t="shared" si="7"/>
        <v>891646.47920250031</v>
      </c>
      <c r="H21" s="145">
        <f t="shared" si="7"/>
        <v>1013119.0891526254</v>
      </c>
      <c r="I21" s="145">
        <f t="shared" si="7"/>
        <v>1144509.8438997569</v>
      </c>
      <c r="J21" s="145">
        <f t="shared" si="7"/>
        <v>1286506.8763987196</v>
      </c>
      <c r="K21" s="145">
        <f t="shared" si="7"/>
        <v>1439842.33753783</v>
      </c>
    </row>
    <row r="22" spans="1:18" x14ac:dyDescent="0.2">
      <c r="E22" s="146"/>
      <c r="F22" s="99"/>
      <c r="G22" s="99"/>
      <c r="H22" s="99"/>
      <c r="I22" s="99"/>
      <c r="J22" s="99"/>
      <c r="K22" s="99"/>
    </row>
    <row r="23" spans="1:18" x14ac:dyDescent="0.2">
      <c r="F23" s="146"/>
      <c r="G23" s="146"/>
      <c r="H23" s="146"/>
      <c r="I23" s="146"/>
      <c r="J23" s="146"/>
      <c r="K23" s="146"/>
    </row>
    <row r="24" spans="1:18" ht="41.1" customHeight="1" x14ac:dyDescent="0.2">
      <c r="A24" s="449" t="s">
        <v>406</v>
      </c>
      <c r="B24" s="449"/>
      <c r="C24" s="449"/>
      <c r="D24" s="449"/>
      <c r="E24" s="449"/>
      <c r="F24" s="449"/>
      <c r="G24" s="449"/>
      <c r="H24" s="449"/>
      <c r="I24" s="449"/>
      <c r="J24" s="449"/>
      <c r="K24" s="449"/>
      <c r="L24" s="263"/>
      <c r="M24" s="263"/>
      <c r="N24" s="263"/>
      <c r="O24" s="170"/>
      <c r="P24" s="170"/>
      <c r="Q24" s="170"/>
      <c r="R24" s="170"/>
    </row>
    <row r="25" spans="1:18" x14ac:dyDescent="0.2">
      <c r="A25" s="92" t="s">
        <v>527</v>
      </c>
    </row>
    <row r="26" spans="1:18" x14ac:dyDescent="0.2">
      <c r="A26" s="92">
        <v>1</v>
      </c>
      <c r="B26" s="92" t="s">
        <v>530</v>
      </c>
    </row>
    <row r="29" spans="1:18" ht="18.75" x14ac:dyDescent="0.25">
      <c r="B29" s="427" t="s">
        <v>552</v>
      </c>
      <c r="C29" s="427"/>
      <c r="D29" s="427"/>
      <c r="E29" s="427"/>
      <c r="F29" s="427"/>
      <c r="G29" s="427"/>
      <c r="H29" s="427"/>
      <c r="I29" s="427"/>
      <c r="J29" s="427"/>
      <c r="K29" s="427"/>
    </row>
    <row r="31" spans="1:18" x14ac:dyDescent="0.2">
      <c r="B31" s="452" t="s">
        <v>145</v>
      </c>
      <c r="C31" s="452" t="s">
        <v>0</v>
      </c>
      <c r="D31" s="455" t="s">
        <v>358</v>
      </c>
      <c r="E31" s="457" t="s">
        <v>157</v>
      </c>
      <c r="F31" s="458"/>
      <c r="G31" s="458"/>
      <c r="H31" s="458"/>
      <c r="I31" s="458"/>
      <c r="J31" s="458"/>
      <c r="K31" s="458"/>
    </row>
    <row r="32" spans="1:18" x14ac:dyDescent="0.2">
      <c r="B32" s="452"/>
      <c r="C32" s="452"/>
      <c r="D32" s="456"/>
      <c r="E32" s="16" t="s">
        <v>2</v>
      </c>
      <c r="F32" s="16" t="s">
        <v>3</v>
      </c>
      <c r="G32" s="16" t="s">
        <v>4</v>
      </c>
      <c r="H32" s="16" t="s">
        <v>5</v>
      </c>
      <c r="I32" s="16" t="s">
        <v>6</v>
      </c>
      <c r="J32" s="16" t="s">
        <v>168</v>
      </c>
      <c r="K32" s="16" t="s">
        <v>167</v>
      </c>
    </row>
    <row r="33" spans="2:11" x14ac:dyDescent="0.2">
      <c r="B33" s="264"/>
      <c r="C33" s="265"/>
      <c r="D33" s="265"/>
      <c r="E33" s="266"/>
      <c r="F33" s="266"/>
      <c r="G33" s="266"/>
      <c r="H33" s="266"/>
      <c r="I33" s="266"/>
      <c r="J33" s="266"/>
      <c r="K33" s="266"/>
    </row>
    <row r="34" spans="2:11" x14ac:dyDescent="0.2">
      <c r="B34" s="121" t="s">
        <v>172</v>
      </c>
      <c r="C34" s="240" t="s">
        <v>339</v>
      </c>
      <c r="D34" s="267"/>
      <c r="E34" s="268"/>
      <c r="F34" s="268"/>
      <c r="G34" s="268"/>
      <c r="H34" s="268"/>
      <c r="I34" s="268"/>
      <c r="J34" s="268"/>
      <c r="K34" s="268"/>
    </row>
    <row r="35" spans="2:11" hidden="1" x14ac:dyDescent="0.2">
      <c r="B35" s="71">
        <v>1</v>
      </c>
      <c r="C35" s="70" t="s">
        <v>360</v>
      </c>
      <c r="D35" s="267">
        <v>14</v>
      </c>
      <c r="E35" s="268">
        <f>('16.Facility 5 Agri Input'!D191/365)*$D$35</f>
        <v>0</v>
      </c>
      <c r="F35" s="268">
        <f>('16.Facility 5 Agri Input'!E191/365)*$D$35</f>
        <v>0</v>
      </c>
      <c r="G35" s="268">
        <f>('16.Facility 5 Agri Input'!F191/365)*$D$35</f>
        <v>0</v>
      </c>
      <c r="H35" s="268">
        <f>('16.Facility 5 Agri Input'!G191/365)*$D$35</f>
        <v>0</v>
      </c>
      <c r="I35" s="268">
        <f>('16.Facility 5 Agri Input'!H191/365)*$D$35</f>
        <v>0</v>
      </c>
      <c r="J35" s="268">
        <f>('16.Facility 5 Agri Input'!I191/365)*$D$35</f>
        <v>0</v>
      </c>
      <c r="K35" s="268">
        <f>('16.Facility 5 Agri Input'!J191/365)*$D$35</f>
        <v>0</v>
      </c>
    </row>
    <row r="36" spans="2:11" hidden="1" x14ac:dyDescent="0.2">
      <c r="B36" s="71">
        <v>2</v>
      </c>
      <c r="C36" s="70" t="s">
        <v>356</v>
      </c>
      <c r="D36" s="267">
        <v>14</v>
      </c>
      <c r="E36" s="268">
        <f>('15. Facility 4 Custom Hiring'!E37/365)*$D$36</f>
        <v>0</v>
      </c>
      <c r="F36" s="268">
        <f>('15. Facility 4 Custom Hiring'!F37/365)*$D$36</f>
        <v>0</v>
      </c>
      <c r="G36" s="268">
        <f>('15. Facility 4 Custom Hiring'!G37/365)*$D$36</f>
        <v>0</v>
      </c>
      <c r="H36" s="268">
        <f>('15. Facility 4 Custom Hiring'!H37/365)*$D$36</f>
        <v>0</v>
      </c>
      <c r="I36" s="268">
        <f>('15. Facility 4 Custom Hiring'!I37/365)*$D$36</f>
        <v>0</v>
      </c>
      <c r="J36" s="268">
        <f>('15. Facility 4 Custom Hiring'!J37/365)*$D$36</f>
        <v>0</v>
      </c>
      <c r="K36" s="268">
        <f>('15. Facility 4 Custom Hiring'!K37/365)*$D$36</f>
        <v>0</v>
      </c>
    </row>
    <row r="37" spans="2:11" x14ac:dyDescent="0.2">
      <c r="B37" s="71">
        <v>1</v>
      </c>
      <c r="C37" s="70" t="s">
        <v>885</v>
      </c>
      <c r="D37" s="267">
        <v>30</v>
      </c>
      <c r="E37" s="268">
        <f>('12.Facility 1 - Trading'!D191/365)*$D$37</f>
        <v>3414427.3972602738</v>
      </c>
      <c r="F37" s="268">
        <f>('12.Facility 1 - Trading'!E191/365)*$D$37</f>
        <v>4016829.9452054799</v>
      </c>
      <c r="G37" s="268">
        <f>('12.Facility 1 - Trading'!F191/365)*$D$37</f>
        <v>4601794.5246575354</v>
      </c>
      <c r="H37" s="268">
        <f>('12.Facility 1 - Trading'!G191/365)*$D$37</f>
        <v>5235213.4871917833</v>
      </c>
      <c r="I37" s="268">
        <f>('12.Facility 1 - Trading'!H191/365)*$D$37</f>
        <v>5920469.8596678097</v>
      </c>
      <c r="J37" s="268">
        <f>('12.Facility 1 - Trading'!I191/365)*$D$37</f>
        <v>6661163.8356734626</v>
      </c>
      <c r="K37" s="268">
        <f>('12.Facility 1 - Trading'!J191/365)*$D$37</f>
        <v>7461126.03463051</v>
      </c>
    </row>
    <row r="38" spans="2:11" hidden="1" x14ac:dyDescent="0.2">
      <c r="B38" s="71">
        <v>4</v>
      </c>
      <c r="C38" s="70" t="s">
        <v>140</v>
      </c>
      <c r="D38" s="267">
        <v>15</v>
      </c>
      <c r="E38" s="268">
        <f>('13.Facility 2 Grain Processing'!D150/365)*$D$38</f>
        <v>0</v>
      </c>
      <c r="F38" s="268">
        <f>('13.Facility 2 Grain Processing'!E150/365)*$D$38</f>
        <v>0</v>
      </c>
      <c r="G38" s="268">
        <f>('13.Facility 2 Grain Processing'!F150/365)*$D$38</f>
        <v>0</v>
      </c>
      <c r="H38" s="268">
        <f>('13.Facility 2 Grain Processing'!G150/365)*$D$38</f>
        <v>0</v>
      </c>
      <c r="I38" s="268">
        <f>('13.Facility 2 Grain Processing'!H150/365)*$D$38</f>
        <v>0</v>
      </c>
      <c r="J38" s="268">
        <f>('13.Facility 2 Grain Processing'!I150/365)*$D$38</f>
        <v>0</v>
      </c>
      <c r="K38" s="268">
        <f>('13.Facility 2 Grain Processing'!J150/365)*$D$38</f>
        <v>0</v>
      </c>
    </row>
    <row r="39" spans="2:11" hidden="1" x14ac:dyDescent="0.2">
      <c r="B39" s="71">
        <v>5</v>
      </c>
      <c r="C39" s="70" t="s">
        <v>295</v>
      </c>
      <c r="D39" s="267">
        <v>14</v>
      </c>
      <c r="E39" s="268">
        <f>('14. Facility 3 Warehouse'!D23/365)*$D$39</f>
        <v>0</v>
      </c>
      <c r="F39" s="268">
        <f>('14. Facility 3 Warehouse'!E23/365)*$D$39</f>
        <v>0</v>
      </c>
      <c r="G39" s="268">
        <f>('14. Facility 3 Warehouse'!F23/365)*$D$39</f>
        <v>0</v>
      </c>
      <c r="H39" s="268">
        <f>('14. Facility 3 Warehouse'!G23/365)*$D$39</f>
        <v>0</v>
      </c>
      <c r="I39" s="268">
        <f>('14. Facility 3 Warehouse'!H23/365)*$D$39</f>
        <v>0</v>
      </c>
      <c r="J39" s="268">
        <f>('14. Facility 3 Warehouse'!I23/365)*$D$39</f>
        <v>0</v>
      </c>
      <c r="K39" s="268">
        <f>('14. Facility 3 Warehouse'!J23/365)*$D$39</f>
        <v>0</v>
      </c>
    </row>
    <row r="40" spans="2:11" hidden="1" x14ac:dyDescent="0.2">
      <c r="B40" s="71">
        <v>6</v>
      </c>
      <c r="C40" s="70" t="s">
        <v>523</v>
      </c>
      <c r="D40" s="267">
        <v>14</v>
      </c>
      <c r="E40" s="268">
        <f>('17.Facility 6 Horti Processing '!D159/365)*$D$40</f>
        <v>0</v>
      </c>
      <c r="F40" s="268">
        <f>('17.Facility 6 Horti Processing '!E159/365)*$D$40</f>
        <v>0</v>
      </c>
      <c r="G40" s="268">
        <f>('17.Facility 6 Horti Processing '!F159/365)*$D$40</f>
        <v>0</v>
      </c>
      <c r="H40" s="268">
        <f>('17.Facility 6 Horti Processing '!G159/365)*$D$40</f>
        <v>0</v>
      </c>
      <c r="I40" s="268">
        <f>('17.Facility 6 Horti Processing '!H159/365)*$D$40</f>
        <v>0</v>
      </c>
      <c r="J40" s="268">
        <f>('17.Facility 6 Horti Processing '!I159/365)*$D$40</f>
        <v>0</v>
      </c>
      <c r="K40" s="268">
        <f>('17.Facility 6 Horti Processing '!J159/365)*$D$40</f>
        <v>0</v>
      </c>
    </row>
    <row r="41" spans="2:11" x14ac:dyDescent="0.2">
      <c r="B41" s="71"/>
      <c r="C41" s="70"/>
      <c r="D41" s="267"/>
      <c r="E41" s="268"/>
      <c r="F41" s="268"/>
      <c r="G41" s="268"/>
      <c r="H41" s="268"/>
      <c r="I41" s="268"/>
      <c r="J41" s="268"/>
      <c r="K41" s="268"/>
    </row>
    <row r="42" spans="2:11" x14ac:dyDescent="0.2">
      <c r="B42" s="121"/>
      <c r="C42" s="240" t="s">
        <v>170</v>
      </c>
      <c r="D42" s="267"/>
      <c r="E42" s="268">
        <f>SUM(E35:E41)</f>
        <v>3414427.3972602738</v>
      </c>
      <c r="F42" s="268">
        <f t="shared" ref="F42:K42" si="8">SUM(F35:F41)</f>
        <v>4016829.9452054799</v>
      </c>
      <c r="G42" s="268">
        <f t="shared" si="8"/>
        <v>4601794.5246575354</v>
      </c>
      <c r="H42" s="268">
        <f t="shared" si="8"/>
        <v>5235213.4871917833</v>
      </c>
      <c r="I42" s="268">
        <f t="shared" si="8"/>
        <v>5920469.8596678097</v>
      </c>
      <c r="J42" s="268">
        <f t="shared" si="8"/>
        <v>6661163.8356734626</v>
      </c>
      <c r="K42" s="268">
        <f t="shared" si="8"/>
        <v>7461126.03463051</v>
      </c>
    </row>
    <row r="43" spans="2:11" x14ac:dyDescent="0.2">
      <c r="B43" s="121" t="s">
        <v>173</v>
      </c>
      <c r="C43" s="240" t="s">
        <v>338</v>
      </c>
      <c r="D43" s="267"/>
      <c r="E43" s="268">
        <f>'5.Closing Stock &amp; W Capital'!E21</f>
        <v>675908.201</v>
      </c>
      <c r="F43" s="268">
        <f>'5.Closing Stock &amp; W Capital'!F21</f>
        <v>779445.36705</v>
      </c>
      <c r="G43" s="268">
        <f>'5.Closing Stock &amp; W Capital'!G21</f>
        <v>891646.47920250031</v>
      </c>
      <c r="H43" s="268">
        <f>'5.Closing Stock &amp; W Capital'!H21</f>
        <v>1013119.0891526254</v>
      </c>
      <c r="I43" s="268">
        <f>'5.Closing Stock &amp; W Capital'!I21</f>
        <v>1144509.8438997569</v>
      </c>
      <c r="J43" s="268">
        <f>'5.Closing Stock &amp; W Capital'!J21</f>
        <v>1286506.8763987196</v>
      </c>
      <c r="K43" s="268">
        <f>'5.Closing Stock &amp; W Capital'!K21</f>
        <v>1439842.33753783</v>
      </c>
    </row>
    <row r="44" spans="2:11" x14ac:dyDescent="0.2">
      <c r="B44" s="121"/>
      <c r="C44" s="70"/>
      <c r="D44" s="267"/>
      <c r="E44" s="268"/>
      <c r="F44" s="268"/>
      <c r="G44" s="268"/>
      <c r="H44" s="268"/>
      <c r="I44" s="268"/>
      <c r="J44" s="268"/>
      <c r="K44" s="268"/>
    </row>
    <row r="45" spans="2:11" x14ac:dyDescent="0.2">
      <c r="B45" s="453" t="s">
        <v>1</v>
      </c>
      <c r="C45" s="454"/>
      <c r="D45" s="269"/>
      <c r="E45" s="241">
        <f>SUM(E42:E43)</f>
        <v>4090335.5982602737</v>
      </c>
      <c r="F45" s="241">
        <f t="shared" ref="F45:K45" si="9">SUM(F42:F43)</f>
        <v>4796275.3122554794</v>
      </c>
      <c r="G45" s="241">
        <f t="shared" si="9"/>
        <v>5493441.0038600359</v>
      </c>
      <c r="H45" s="241">
        <f t="shared" si="9"/>
        <v>6248332.576344409</v>
      </c>
      <c r="I45" s="241">
        <f t="shared" si="9"/>
        <v>7064979.7035675664</v>
      </c>
      <c r="J45" s="241">
        <f t="shared" si="9"/>
        <v>7947670.7120721824</v>
      </c>
      <c r="K45" s="241">
        <f t="shared" si="9"/>
        <v>8900968.3721683398</v>
      </c>
    </row>
    <row r="46" spans="2:11" x14ac:dyDescent="0.2">
      <c r="B46" s="121"/>
      <c r="C46" s="240"/>
      <c r="D46" s="267"/>
      <c r="E46" s="268"/>
      <c r="F46" s="268"/>
      <c r="G46" s="268"/>
      <c r="H46" s="268"/>
      <c r="I46" s="268"/>
      <c r="J46" s="268"/>
      <c r="K46" s="268"/>
    </row>
    <row r="47" spans="2:11" ht="34.5" customHeight="1" x14ac:dyDescent="0.2">
      <c r="B47" s="121" t="s">
        <v>174</v>
      </c>
      <c r="C47" s="70" t="s">
        <v>340</v>
      </c>
      <c r="D47" s="267"/>
      <c r="E47" s="268"/>
      <c r="F47" s="268"/>
      <c r="G47" s="268"/>
      <c r="H47" s="268"/>
      <c r="I47" s="268"/>
      <c r="J47" s="268"/>
      <c r="K47" s="268"/>
    </row>
    <row r="48" spans="2:11" hidden="1" x14ac:dyDescent="0.2">
      <c r="B48" s="71">
        <v>1</v>
      </c>
      <c r="C48" s="70" t="str">
        <f t="shared" ref="C48:C53" si="10">C35</f>
        <v>Agri Input</v>
      </c>
      <c r="D48" s="267">
        <v>7</v>
      </c>
      <c r="E48" s="268">
        <f>(SUM('16.Facility 5 Agri Input'!D198:D259)/365)*$D$48</f>
        <v>0</v>
      </c>
      <c r="F48" s="268">
        <f>(SUM('16.Facility 5 Agri Input'!E198:E259)/365)*$D$48</f>
        <v>0</v>
      </c>
      <c r="G48" s="268">
        <f>(SUM('16.Facility 5 Agri Input'!F198:F259)/365)*$D$48</f>
        <v>0</v>
      </c>
      <c r="H48" s="268">
        <f>(SUM('16.Facility 5 Agri Input'!G198:G259)/365)*$D$48</f>
        <v>0</v>
      </c>
      <c r="I48" s="268">
        <f>(SUM('16.Facility 5 Agri Input'!H198:H259)/365)*$D$48</f>
        <v>0</v>
      </c>
      <c r="J48" s="268">
        <f>(SUM('16.Facility 5 Agri Input'!I198:I259)/365)*$D$48</f>
        <v>0</v>
      </c>
      <c r="K48" s="268">
        <f>(SUM('16.Facility 5 Agri Input'!J198:J259)/365)*$D$48</f>
        <v>0</v>
      </c>
    </row>
    <row r="49" spans="1:12" hidden="1" x14ac:dyDescent="0.2">
      <c r="B49" s="71">
        <v>2</v>
      </c>
      <c r="C49" s="70" t="str">
        <f t="shared" si="10"/>
        <v>Custom Hiring</v>
      </c>
      <c r="D49" s="267">
        <v>7</v>
      </c>
      <c r="E49" s="268">
        <f>('15. Facility 4 Custom Hiring'!E47/365)*$D$50</f>
        <v>0</v>
      </c>
      <c r="F49" s="268">
        <f>('15. Facility 4 Custom Hiring'!F47/365)*$D$50</f>
        <v>0</v>
      </c>
      <c r="G49" s="268">
        <f>('15. Facility 4 Custom Hiring'!G47/365)*$D$50</f>
        <v>0</v>
      </c>
      <c r="H49" s="268">
        <f>('15. Facility 4 Custom Hiring'!H47/365)*$D$50</f>
        <v>0</v>
      </c>
      <c r="I49" s="268">
        <f>('15. Facility 4 Custom Hiring'!I47/365)*$D$50</f>
        <v>0</v>
      </c>
      <c r="J49" s="268">
        <f>('15. Facility 4 Custom Hiring'!J47/365)*$D$50</f>
        <v>0</v>
      </c>
      <c r="K49" s="268">
        <f>('15. Facility 4 Custom Hiring'!K47/365)*$D$50</f>
        <v>0</v>
      </c>
    </row>
    <row r="50" spans="1:12" x14ac:dyDescent="0.2">
      <c r="B50" s="71">
        <v>1</v>
      </c>
      <c r="C50" s="70" t="str">
        <f t="shared" si="10"/>
        <v>Fruit Processing Unit</v>
      </c>
      <c r="D50" s="267">
        <v>7</v>
      </c>
      <c r="E50" s="268">
        <f>(SUM('12.Facility 1 - Trading'!D195:D210)/365)*$D$50</f>
        <v>648131.15164383559</v>
      </c>
      <c r="F50" s="268">
        <f>(SUM('12.Facility 1 - Trading'!E195:E210)/365)*$D$50</f>
        <v>747413.36566438351</v>
      </c>
      <c r="G50" s="268">
        <f>(SUM('12.Facility 1 - Trading'!F195:F210)/365)*$D$50</f>
        <v>855003.47320787702</v>
      </c>
      <c r="H50" s="268">
        <f>(SUM('12.Facility 1 - Trading'!G195:G210)/365)*$D$50</f>
        <v>971484.05809155852</v>
      </c>
      <c r="I50" s="268">
        <f>(SUM('12.Facility 1 - Trading'!H195:H210)/365)*$D$50</f>
        <v>1097475.192780589</v>
      </c>
      <c r="J50" s="268">
        <f>(SUM('12.Facility 1 - Trading'!I195:I210)/365)*$D$50</f>
        <v>1233636.7307932929</v>
      </c>
      <c r="K50" s="268">
        <f>(SUM('12.Facility 1 - Trading'!J195:J210)/365)*$D$50</f>
        <v>1380670.7346253162</v>
      </c>
    </row>
    <row r="51" spans="1:12" hidden="1" x14ac:dyDescent="0.2">
      <c r="B51" s="71">
        <v>4</v>
      </c>
      <c r="C51" s="70" t="str">
        <f t="shared" si="10"/>
        <v>Dal Mill</v>
      </c>
      <c r="D51" s="267">
        <v>7</v>
      </c>
      <c r="E51" s="268">
        <f>(SUM('13.Facility 2 Grain Processing'!D154:D169)/365)*$D$51</f>
        <v>0</v>
      </c>
      <c r="F51" s="268">
        <f>(SUM('13.Facility 2 Grain Processing'!E154:E169)/365)*$D$51</f>
        <v>0</v>
      </c>
      <c r="G51" s="268">
        <f>(SUM('13.Facility 2 Grain Processing'!F154:F169)/365)*$D$51</f>
        <v>0</v>
      </c>
      <c r="H51" s="268">
        <f>(SUM('13.Facility 2 Grain Processing'!G154:G169)/365)*$D$51</f>
        <v>0</v>
      </c>
      <c r="I51" s="268">
        <f>(SUM('13.Facility 2 Grain Processing'!H154:H169)/365)*$D$51</f>
        <v>0</v>
      </c>
      <c r="J51" s="268">
        <f>(SUM('13.Facility 2 Grain Processing'!I154:I169)/365)*$D$51</f>
        <v>0</v>
      </c>
      <c r="K51" s="268">
        <f>(SUM('13.Facility 2 Grain Processing'!J154:J169)/365)*$D$51</f>
        <v>0</v>
      </c>
    </row>
    <row r="52" spans="1:12" hidden="1" x14ac:dyDescent="0.2">
      <c r="B52" s="71">
        <v>5</v>
      </c>
      <c r="C52" s="70" t="str">
        <f t="shared" si="10"/>
        <v>Warehouse</v>
      </c>
      <c r="D52" s="267">
        <v>7</v>
      </c>
      <c r="E52" s="268">
        <f>('14. Facility 3 Warehouse'!D34/365)*$D$52</f>
        <v>0</v>
      </c>
      <c r="F52" s="268">
        <f>('14. Facility 3 Warehouse'!E34/365)*$D$52</f>
        <v>0</v>
      </c>
      <c r="G52" s="268">
        <f>('14. Facility 3 Warehouse'!F34/365)*$D$52</f>
        <v>0</v>
      </c>
      <c r="H52" s="268">
        <f>('14. Facility 3 Warehouse'!G34/365)*$D$52</f>
        <v>0</v>
      </c>
      <c r="I52" s="268">
        <f>('14. Facility 3 Warehouse'!H34/365)*$D$52</f>
        <v>0</v>
      </c>
      <c r="J52" s="268">
        <f>('14. Facility 3 Warehouse'!I34/365)*$D$52</f>
        <v>0</v>
      </c>
      <c r="K52" s="268">
        <f>('14. Facility 3 Warehouse'!J34/365)*$D$52</f>
        <v>0</v>
      </c>
    </row>
    <row r="53" spans="1:12" hidden="1" x14ac:dyDescent="0.2">
      <c r="B53" s="71">
        <v>6</v>
      </c>
      <c r="C53" s="70" t="str">
        <f t="shared" si="10"/>
        <v>Processing Unit - Horti Commodity</v>
      </c>
      <c r="D53" s="267">
        <v>7</v>
      </c>
      <c r="E53" s="268">
        <f>(SUM('17.Facility 6 Horti Processing '!D163:D173)/365)*$D$53</f>
        <v>0</v>
      </c>
      <c r="F53" s="268">
        <f>(SUM('17.Facility 6 Horti Processing '!E163:E173)/365)*$D$53</f>
        <v>0</v>
      </c>
      <c r="G53" s="268">
        <f>(SUM('17.Facility 6 Horti Processing '!F163:F173)/365)*$D$53</f>
        <v>0</v>
      </c>
      <c r="H53" s="268">
        <f>(SUM('17.Facility 6 Horti Processing '!G163:G173)/365)*$D$53</f>
        <v>0</v>
      </c>
      <c r="I53" s="268">
        <f>(SUM('17.Facility 6 Horti Processing '!H163:H173)/365)*$D$53</f>
        <v>0</v>
      </c>
      <c r="J53" s="268">
        <f>(SUM('17.Facility 6 Horti Processing '!I163:I173)/365)*$D$53</f>
        <v>0</v>
      </c>
      <c r="K53" s="268">
        <f>(SUM('17.Facility 6 Horti Processing '!J163:J173)/365)*$D$53</f>
        <v>0</v>
      </c>
    </row>
    <row r="54" spans="1:12" x14ac:dyDescent="0.2">
      <c r="B54" s="71"/>
      <c r="C54" s="70"/>
      <c r="D54" s="267"/>
      <c r="E54" s="268"/>
      <c r="F54" s="268"/>
      <c r="G54" s="268"/>
      <c r="H54" s="268"/>
      <c r="I54" s="268"/>
      <c r="J54" s="268"/>
      <c r="K54" s="268"/>
    </row>
    <row r="55" spans="1:12" x14ac:dyDescent="0.2">
      <c r="B55" s="252"/>
      <c r="C55" s="240" t="s">
        <v>1</v>
      </c>
      <c r="D55" s="267"/>
      <c r="E55" s="241">
        <f>SUM(E48:E54)</f>
        <v>648131.15164383559</v>
      </c>
      <c r="F55" s="241">
        <f t="shared" ref="F55:K55" si="11">SUM(F48:F54)</f>
        <v>747413.36566438351</v>
      </c>
      <c r="G55" s="241">
        <f t="shared" si="11"/>
        <v>855003.47320787702</v>
      </c>
      <c r="H55" s="241">
        <f t="shared" si="11"/>
        <v>971484.05809155852</v>
      </c>
      <c r="I55" s="241">
        <f t="shared" si="11"/>
        <v>1097475.192780589</v>
      </c>
      <c r="J55" s="241">
        <f t="shared" si="11"/>
        <v>1233636.7307932929</v>
      </c>
      <c r="K55" s="241">
        <f t="shared" si="11"/>
        <v>1380670.7346253162</v>
      </c>
    </row>
    <row r="56" spans="1:12" x14ac:dyDescent="0.2">
      <c r="B56" s="121" t="s">
        <v>175</v>
      </c>
      <c r="C56" s="240" t="s">
        <v>156</v>
      </c>
      <c r="D56" s="267"/>
      <c r="E56" s="241">
        <f>E45-E55</f>
        <v>3442204.4466164382</v>
      </c>
      <c r="F56" s="241">
        <f t="shared" ref="F56:K56" si="12">F45-F55</f>
        <v>4048861.946591096</v>
      </c>
      <c r="G56" s="241">
        <f t="shared" si="12"/>
        <v>4638437.5306521589</v>
      </c>
      <c r="H56" s="241">
        <f t="shared" si="12"/>
        <v>5276848.5182528505</v>
      </c>
      <c r="I56" s="241">
        <f t="shared" si="12"/>
        <v>5967504.5107869776</v>
      </c>
      <c r="J56" s="241">
        <f t="shared" si="12"/>
        <v>6714033.9812788898</v>
      </c>
      <c r="K56" s="241">
        <f t="shared" si="12"/>
        <v>7520297.6375430236</v>
      </c>
    </row>
    <row r="57" spans="1:12" x14ac:dyDescent="0.2">
      <c r="B57" s="121"/>
      <c r="C57" s="240" t="s">
        <v>134</v>
      </c>
      <c r="D57" s="270">
        <v>0.25</v>
      </c>
      <c r="E57" s="241">
        <f>E56*$D$57</f>
        <v>860551.11165410955</v>
      </c>
      <c r="F57" s="241"/>
      <c r="G57" s="241"/>
      <c r="H57" s="241"/>
      <c r="I57" s="241"/>
      <c r="J57" s="241"/>
      <c r="K57" s="241"/>
    </row>
    <row r="59" spans="1:12" x14ac:dyDescent="0.2">
      <c r="E59" s="147"/>
    </row>
    <row r="60" spans="1:12" ht="36.950000000000003" customHeight="1" x14ac:dyDescent="0.2">
      <c r="A60" s="450" t="s">
        <v>402</v>
      </c>
      <c r="B60" s="451"/>
      <c r="C60" s="451"/>
      <c r="D60" s="451"/>
      <c r="E60" s="451"/>
      <c r="F60" s="451"/>
      <c r="G60" s="451"/>
      <c r="H60" s="451"/>
      <c r="I60" s="451"/>
      <c r="J60" s="451"/>
      <c r="K60" s="451"/>
      <c r="L60" s="451"/>
    </row>
    <row r="61" spans="1:12" x14ac:dyDescent="0.2">
      <c r="A61" s="92" t="s">
        <v>531</v>
      </c>
    </row>
    <row r="62" spans="1:12" x14ac:dyDescent="0.2">
      <c r="A62" s="92">
        <v>1</v>
      </c>
      <c r="B62" s="92" t="s">
        <v>532</v>
      </c>
    </row>
    <row r="63" spans="1:12" x14ac:dyDescent="0.2">
      <c r="A63" s="92">
        <v>2</v>
      </c>
      <c r="B63" s="92" t="s">
        <v>533</v>
      </c>
    </row>
    <row r="64" spans="1:12" x14ac:dyDescent="0.2">
      <c r="A64" s="92">
        <v>3</v>
      </c>
      <c r="B64" s="92" t="s">
        <v>534</v>
      </c>
    </row>
    <row r="67" spans="5:11" x14ac:dyDescent="0.2">
      <c r="E67" s="147"/>
      <c r="F67" s="146"/>
      <c r="G67" s="146"/>
      <c r="H67" s="146"/>
      <c r="I67" s="146"/>
      <c r="J67" s="146"/>
      <c r="K67" s="146"/>
    </row>
    <row r="68" spans="5:11" x14ac:dyDescent="0.2">
      <c r="E68" s="146"/>
      <c r="G68" s="146"/>
      <c r="H68" s="146"/>
      <c r="I68" s="146"/>
      <c r="J68" s="146"/>
      <c r="K68" s="146"/>
    </row>
    <row r="69" spans="5:11" x14ac:dyDescent="0.2">
      <c r="E69" s="146"/>
      <c r="I69" s="146"/>
      <c r="J69" s="146"/>
      <c r="K69" s="146"/>
    </row>
    <row r="70" spans="5:11" x14ac:dyDescent="0.2">
      <c r="E70" s="147"/>
    </row>
    <row r="71" spans="5:11" x14ac:dyDescent="0.2">
      <c r="E71" s="147"/>
      <c r="F71" s="147"/>
      <c r="G71" s="147"/>
      <c r="H71" s="147"/>
    </row>
  </sheetData>
  <mergeCells count="13">
    <mergeCell ref="A60:L60"/>
    <mergeCell ref="B29:K29"/>
    <mergeCell ref="B31:B32"/>
    <mergeCell ref="C31:C32"/>
    <mergeCell ref="B45:C45"/>
    <mergeCell ref="D31:D32"/>
    <mergeCell ref="E31:K31"/>
    <mergeCell ref="N6:R6"/>
    <mergeCell ref="U5:V5"/>
    <mergeCell ref="U6:V6"/>
    <mergeCell ref="C2:K2"/>
    <mergeCell ref="A24:K24"/>
    <mergeCell ref="N5:R5"/>
  </mergeCells>
  <pageMargins left="0.7" right="0.7" top="0.75" bottom="0.75" header="0.3" footer="0.3"/>
  <pageSetup paperSize="9" scale="54"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P63"/>
  <sheetViews>
    <sheetView view="pageBreakPreview" topLeftCell="A24" zoomScale="80" zoomScaleSheetLayoutView="80" workbookViewId="0">
      <selection activeCell="A5" sqref="A5:H51"/>
    </sheetView>
  </sheetViews>
  <sheetFormatPr defaultColWidth="8.7421875" defaultRowHeight="15" x14ac:dyDescent="0.2"/>
  <cols>
    <col min="1" max="1" width="40.48828125" style="92" bestFit="1" customWidth="1"/>
    <col min="2" max="5" width="13.44921875" style="92" bestFit="1" customWidth="1"/>
    <col min="6" max="8" width="13.1796875" style="92" bestFit="1" customWidth="1"/>
    <col min="9" max="9" width="8.47265625" style="92" customWidth="1"/>
    <col min="10" max="16" width="14.125" style="92" bestFit="1" customWidth="1"/>
    <col min="17" max="16384" width="8.7421875" style="92"/>
  </cols>
  <sheetData>
    <row r="2" spans="1:16" ht="18.75" x14ac:dyDescent="0.25">
      <c r="A2" s="427" t="s">
        <v>553</v>
      </c>
      <c r="B2" s="427"/>
      <c r="C2" s="427"/>
      <c r="D2" s="427"/>
      <c r="E2" s="427"/>
      <c r="F2" s="427"/>
      <c r="G2" s="427"/>
      <c r="H2" s="427"/>
    </row>
    <row r="4" spans="1:16" x14ac:dyDescent="0.2">
      <c r="B4" s="138"/>
      <c r="C4" s="138"/>
      <c r="D4" s="138"/>
      <c r="E4" s="138"/>
      <c r="F4" s="138"/>
    </row>
    <row r="5" spans="1:16" x14ac:dyDescent="0.2">
      <c r="A5" s="126" t="s">
        <v>0</v>
      </c>
      <c r="B5" s="127" t="s">
        <v>2</v>
      </c>
      <c r="C5" s="127" t="s">
        <v>3</v>
      </c>
      <c r="D5" s="127" t="s">
        <v>4</v>
      </c>
      <c r="E5" s="127" t="s">
        <v>5</v>
      </c>
      <c r="F5" s="127" t="s">
        <v>6</v>
      </c>
      <c r="G5" s="127" t="s">
        <v>168</v>
      </c>
      <c r="H5" s="127" t="s">
        <v>167</v>
      </c>
    </row>
    <row r="6" spans="1:16" x14ac:dyDescent="0.2">
      <c r="A6" s="98" t="s">
        <v>126</v>
      </c>
      <c r="B6" s="93"/>
      <c r="C6" s="93"/>
      <c r="D6" s="93"/>
      <c r="E6" s="93"/>
      <c r="F6" s="93"/>
      <c r="G6" s="93"/>
      <c r="H6" s="93"/>
    </row>
    <row r="7" spans="1:16" x14ac:dyDescent="0.2">
      <c r="A7" s="93"/>
      <c r="B7" s="93"/>
      <c r="C7" s="93"/>
      <c r="D7" s="93"/>
      <c r="E7" s="93"/>
      <c r="F7" s="93"/>
      <c r="G7" s="93"/>
      <c r="H7" s="93"/>
    </row>
    <row r="8" spans="1:16" x14ac:dyDescent="0.2">
      <c r="A8" s="93" t="s">
        <v>883</v>
      </c>
      <c r="B8" s="95">
        <f>'12.Facility 1 - Trading'!D191</f>
        <v>41542200</v>
      </c>
      <c r="C8" s="95">
        <f>'12.Facility 1 - Trading'!E191</f>
        <v>48871431</v>
      </c>
      <c r="D8" s="95">
        <f>'12.Facility 1 - Trading'!F191</f>
        <v>55988500.050000012</v>
      </c>
      <c r="E8" s="95">
        <f>'12.Facility 1 - Trading'!G191</f>
        <v>63695097.427500024</v>
      </c>
      <c r="F8" s="95">
        <f>'12.Facility 1 - Trading'!H191</f>
        <v>72032383.292625025</v>
      </c>
      <c r="G8" s="95">
        <f>'12.Facility 1 - Trading'!I191</f>
        <v>81044160.000693798</v>
      </c>
      <c r="H8" s="95">
        <f>'12.Facility 1 - Trading'!J191</f>
        <v>90777033.421337873</v>
      </c>
      <c r="J8" s="146"/>
      <c r="K8" s="146"/>
      <c r="L8" s="146"/>
      <c r="M8" s="146"/>
      <c r="N8" s="146"/>
      <c r="O8" s="146"/>
      <c r="P8" s="146"/>
    </row>
    <row r="9" spans="1:16" hidden="1" x14ac:dyDescent="0.2">
      <c r="A9" s="93" t="s">
        <v>756</v>
      </c>
      <c r="B9" s="95">
        <f>'13.Facility 2 Grain Processing'!D150</f>
        <v>0</v>
      </c>
      <c r="C9" s="95">
        <f>'13.Facility 2 Grain Processing'!E150</f>
        <v>0</v>
      </c>
      <c r="D9" s="95">
        <f>'13.Facility 2 Grain Processing'!F150</f>
        <v>0</v>
      </c>
      <c r="E9" s="95">
        <f>'13.Facility 2 Grain Processing'!G150</f>
        <v>0</v>
      </c>
      <c r="F9" s="95">
        <f>'13.Facility 2 Grain Processing'!H150</f>
        <v>0</v>
      </c>
      <c r="G9" s="95">
        <f>'13.Facility 2 Grain Processing'!I150</f>
        <v>0</v>
      </c>
      <c r="H9" s="95">
        <f>'13.Facility 2 Grain Processing'!J150</f>
        <v>0</v>
      </c>
      <c r="J9" s="146"/>
      <c r="K9" s="146"/>
      <c r="L9" s="146"/>
      <c r="M9" s="146"/>
      <c r="N9" s="146"/>
      <c r="O9" s="146"/>
    </row>
    <row r="10" spans="1:16" hidden="1" x14ac:dyDescent="0.2">
      <c r="A10" s="93" t="s">
        <v>500</v>
      </c>
      <c r="B10" s="95">
        <f>'14. Facility 3 Warehouse'!D23</f>
        <v>0</v>
      </c>
      <c r="C10" s="95">
        <f>'14. Facility 3 Warehouse'!E23</f>
        <v>0</v>
      </c>
      <c r="D10" s="95">
        <f>'14. Facility 3 Warehouse'!F23</f>
        <v>0</v>
      </c>
      <c r="E10" s="95">
        <f>'14. Facility 3 Warehouse'!G23</f>
        <v>0</v>
      </c>
      <c r="F10" s="95">
        <f>'14. Facility 3 Warehouse'!H23</f>
        <v>0</v>
      </c>
      <c r="G10" s="95">
        <f>'14. Facility 3 Warehouse'!I23</f>
        <v>0</v>
      </c>
      <c r="H10" s="95">
        <f>'14. Facility 3 Warehouse'!J23</f>
        <v>0</v>
      </c>
      <c r="J10" s="146"/>
      <c r="K10" s="146"/>
      <c r="L10" s="146"/>
      <c r="M10" s="146"/>
      <c r="N10" s="146"/>
      <c r="O10" s="146"/>
    </row>
    <row r="11" spans="1:16" hidden="1" x14ac:dyDescent="0.2">
      <c r="A11" s="93" t="s">
        <v>501</v>
      </c>
      <c r="B11" s="95">
        <f>'15. Facility 4 Custom Hiring'!E37</f>
        <v>0</v>
      </c>
      <c r="C11" s="95">
        <f>'15. Facility 4 Custom Hiring'!F37</f>
        <v>0</v>
      </c>
      <c r="D11" s="95">
        <f>'15. Facility 4 Custom Hiring'!G37</f>
        <v>0</v>
      </c>
      <c r="E11" s="95">
        <f>'15. Facility 4 Custom Hiring'!H37</f>
        <v>0</v>
      </c>
      <c r="F11" s="95">
        <f>'15. Facility 4 Custom Hiring'!I37</f>
        <v>0</v>
      </c>
      <c r="G11" s="95">
        <f>'15. Facility 4 Custom Hiring'!J37</f>
        <v>0</v>
      </c>
      <c r="H11" s="95">
        <f>'15. Facility 4 Custom Hiring'!K37</f>
        <v>0</v>
      </c>
      <c r="J11" s="146"/>
      <c r="K11" s="146"/>
      <c r="L11" s="146"/>
      <c r="M11" s="146"/>
      <c r="N11" s="146"/>
      <c r="O11" s="146"/>
    </row>
    <row r="12" spans="1:16" hidden="1" x14ac:dyDescent="0.2">
      <c r="A12" s="93" t="s">
        <v>497</v>
      </c>
      <c r="B12" s="95">
        <f>'16.Facility 5 Agri Input'!D191</f>
        <v>0</v>
      </c>
      <c r="C12" s="95">
        <f>'16.Facility 5 Agri Input'!E191</f>
        <v>0</v>
      </c>
      <c r="D12" s="95">
        <f>'16.Facility 5 Agri Input'!F191</f>
        <v>0</v>
      </c>
      <c r="E12" s="95">
        <f>'16.Facility 5 Agri Input'!G191</f>
        <v>0</v>
      </c>
      <c r="F12" s="95">
        <f>'16.Facility 5 Agri Input'!H191</f>
        <v>0</v>
      </c>
      <c r="G12" s="95">
        <f>'16.Facility 5 Agri Input'!I191</f>
        <v>0</v>
      </c>
      <c r="H12" s="95">
        <f>'16.Facility 5 Agri Input'!J191</f>
        <v>0</v>
      </c>
      <c r="J12" s="146"/>
      <c r="K12" s="146"/>
      <c r="L12" s="146"/>
      <c r="M12" s="146"/>
      <c r="N12" s="146"/>
      <c r="O12" s="146"/>
    </row>
    <row r="13" spans="1:16" hidden="1" x14ac:dyDescent="0.2">
      <c r="A13" s="93" t="s">
        <v>522</v>
      </c>
      <c r="B13" s="95">
        <f>'17.Facility 6 Horti Processing '!D159</f>
        <v>0</v>
      </c>
      <c r="C13" s="95">
        <f>'17.Facility 6 Horti Processing '!E159</f>
        <v>0</v>
      </c>
      <c r="D13" s="95">
        <f>'17.Facility 6 Horti Processing '!F159</f>
        <v>0</v>
      </c>
      <c r="E13" s="95">
        <f>'17.Facility 6 Horti Processing '!G159</f>
        <v>0</v>
      </c>
      <c r="F13" s="95">
        <f>'17.Facility 6 Horti Processing '!H159</f>
        <v>0</v>
      </c>
      <c r="G13" s="95">
        <f>'17.Facility 6 Horti Processing '!I159</f>
        <v>0</v>
      </c>
      <c r="H13" s="95">
        <f>'17.Facility 6 Horti Processing '!J159</f>
        <v>0</v>
      </c>
      <c r="J13" s="146"/>
      <c r="K13" s="146"/>
      <c r="L13" s="146"/>
      <c r="M13" s="146"/>
      <c r="N13" s="146"/>
      <c r="O13" s="146"/>
    </row>
    <row r="14" spans="1:16" x14ac:dyDescent="0.2">
      <c r="A14" s="93"/>
      <c r="B14" s="95"/>
      <c r="C14" s="95"/>
      <c r="D14" s="95"/>
      <c r="E14" s="95"/>
      <c r="F14" s="95"/>
      <c r="G14" s="95"/>
      <c r="H14" s="95"/>
      <c r="J14" s="146"/>
    </row>
    <row r="15" spans="1:16" x14ac:dyDescent="0.2">
      <c r="A15" s="98" t="s">
        <v>143</v>
      </c>
      <c r="B15" s="104">
        <f>SUM(B8:B14)</f>
        <v>41542200</v>
      </c>
      <c r="C15" s="104">
        <f t="shared" ref="C15:H15" si="0">SUM(C8:C14)</f>
        <v>48871431</v>
      </c>
      <c r="D15" s="104">
        <f t="shared" si="0"/>
        <v>55988500.050000012</v>
      </c>
      <c r="E15" s="104">
        <f t="shared" si="0"/>
        <v>63695097.427500024</v>
      </c>
      <c r="F15" s="104">
        <f t="shared" si="0"/>
        <v>72032383.292625025</v>
      </c>
      <c r="G15" s="104">
        <f t="shared" si="0"/>
        <v>81044160.000693798</v>
      </c>
      <c r="H15" s="104">
        <f t="shared" si="0"/>
        <v>90777033.421337873</v>
      </c>
      <c r="J15" s="92">
        <v>3.3</v>
      </c>
      <c r="K15" s="92">
        <v>14.1</v>
      </c>
      <c r="L15" s="92">
        <f>K15-J15</f>
        <v>10.8</v>
      </c>
    </row>
    <row r="16" spans="1:16" x14ac:dyDescent="0.2">
      <c r="A16" s="93"/>
      <c r="B16" s="95"/>
      <c r="C16" s="95"/>
      <c r="D16" s="95"/>
      <c r="E16" s="95"/>
      <c r="F16" s="95"/>
      <c r="G16" s="95"/>
      <c r="H16" s="95"/>
      <c r="J16" s="271">
        <v>41918</v>
      </c>
      <c r="K16" s="92">
        <v>5599035.4610729907</v>
      </c>
      <c r="L16" s="92">
        <f>K16-J16</f>
        <v>5557117.4610729907</v>
      </c>
    </row>
    <row r="17" spans="1:16" x14ac:dyDescent="0.2">
      <c r="A17" s="98" t="s">
        <v>306</v>
      </c>
      <c r="B17" s="95"/>
      <c r="C17" s="95"/>
      <c r="D17" s="95"/>
      <c r="E17" s="95"/>
      <c r="F17" s="95"/>
      <c r="G17" s="95"/>
      <c r="H17" s="95"/>
    </row>
    <row r="18" spans="1:16" x14ac:dyDescent="0.2">
      <c r="A18" s="93" t="str">
        <f t="shared" ref="A18:A23" si="1">A8</f>
        <v>Activity 1 - Fruit Processing Unit</v>
      </c>
      <c r="B18" s="95">
        <f>'12.Facility 1 - Trading'!D214</f>
        <v>33119501.848999996</v>
      </c>
      <c r="C18" s="95">
        <f>'12.Facility 1 - Trading'!E214</f>
        <v>38868731.186449997</v>
      </c>
      <c r="D18" s="95">
        <f>'12.Facility 1 - Trading'!F214</f>
        <v>44470122.847972512</v>
      </c>
      <c r="E18" s="95">
        <f>'12.Facility 1 - Trading'!G214</f>
        <v>50534481.847681142</v>
      </c>
      <c r="F18" s="95">
        <f>'12.Facility 1 - Trading'!H214</f>
        <v>57094101.440240718</v>
      </c>
      <c r="G18" s="95">
        <f>'12.Facility 1 - Trading'!I214</f>
        <v>64183346.787437022</v>
      </c>
      <c r="H18" s="95">
        <f>'12.Facility 1 - Trading'!J214</f>
        <v>71838781.415752381</v>
      </c>
    </row>
    <row r="19" spans="1:16" hidden="1" x14ac:dyDescent="0.2">
      <c r="A19" s="93" t="str">
        <f t="shared" si="1"/>
        <v>Activity 2 - Cold Press Oil</v>
      </c>
      <c r="B19" s="95">
        <f>'13.Facility 2 Grain Processing'!D173</f>
        <v>0</v>
      </c>
      <c r="C19" s="95">
        <f>'13.Facility 2 Grain Processing'!E173</f>
        <v>0</v>
      </c>
      <c r="D19" s="95">
        <f>'13.Facility 2 Grain Processing'!F173</f>
        <v>0</v>
      </c>
      <c r="E19" s="95">
        <f>'13.Facility 2 Grain Processing'!G173</f>
        <v>0</v>
      </c>
      <c r="F19" s="95">
        <f>'13.Facility 2 Grain Processing'!H173</f>
        <v>0</v>
      </c>
      <c r="G19" s="95">
        <f>'13.Facility 2 Grain Processing'!I173</f>
        <v>0</v>
      </c>
      <c r="H19" s="95">
        <f>'13.Facility 2 Grain Processing'!J173</f>
        <v>0</v>
      </c>
    </row>
    <row r="20" spans="1:16" hidden="1" x14ac:dyDescent="0.2">
      <c r="A20" s="93" t="str">
        <f t="shared" si="1"/>
        <v>Faclitiy 3 - Warehouse</v>
      </c>
      <c r="B20" s="95">
        <f>'14. Facility 3 Warehouse'!D34</f>
        <v>0</v>
      </c>
      <c r="C20" s="95">
        <f>'14. Facility 3 Warehouse'!E34</f>
        <v>0</v>
      </c>
      <c r="D20" s="95">
        <f>'14. Facility 3 Warehouse'!F34</f>
        <v>0</v>
      </c>
      <c r="E20" s="95">
        <f>'14. Facility 3 Warehouse'!G34</f>
        <v>0</v>
      </c>
      <c r="F20" s="95">
        <f>'14. Facility 3 Warehouse'!H34</f>
        <v>0</v>
      </c>
      <c r="G20" s="95">
        <f>'14. Facility 3 Warehouse'!I34</f>
        <v>0</v>
      </c>
      <c r="H20" s="95">
        <f>'14. Facility 3 Warehouse'!J34</f>
        <v>0</v>
      </c>
    </row>
    <row r="21" spans="1:16" hidden="1" x14ac:dyDescent="0.2">
      <c r="A21" s="93" t="str">
        <f t="shared" si="1"/>
        <v xml:space="preserve">Faclitiy 4 - Custom Hiring </v>
      </c>
      <c r="B21" s="95">
        <f>'15. Facility 4 Custom Hiring'!E47</f>
        <v>0</v>
      </c>
      <c r="C21" s="95">
        <f>'15. Facility 4 Custom Hiring'!F47</f>
        <v>0</v>
      </c>
      <c r="D21" s="95">
        <f>'15. Facility 4 Custom Hiring'!G47</f>
        <v>0</v>
      </c>
      <c r="E21" s="95">
        <f>'15. Facility 4 Custom Hiring'!H47</f>
        <v>0</v>
      </c>
      <c r="F21" s="95">
        <f>'15. Facility 4 Custom Hiring'!I47</f>
        <v>0</v>
      </c>
      <c r="G21" s="95">
        <f>'15. Facility 4 Custom Hiring'!J47</f>
        <v>0</v>
      </c>
      <c r="H21" s="95">
        <f>'15. Facility 4 Custom Hiring'!K47</f>
        <v>0</v>
      </c>
    </row>
    <row r="22" spans="1:16" hidden="1" x14ac:dyDescent="0.2">
      <c r="A22" s="93" t="str">
        <f t="shared" si="1"/>
        <v>Faclitiy 5 - Agri Input Centre</v>
      </c>
      <c r="B22" s="95">
        <f>'16.Facility 5 Agri Input'!D263</f>
        <v>0</v>
      </c>
      <c r="C22" s="95">
        <f>'16.Facility 5 Agri Input'!E263</f>
        <v>0</v>
      </c>
      <c r="D22" s="95">
        <f>'16.Facility 5 Agri Input'!F263</f>
        <v>0</v>
      </c>
      <c r="E22" s="95">
        <f>'16.Facility 5 Agri Input'!G263</f>
        <v>0</v>
      </c>
      <c r="F22" s="95">
        <f>'16.Facility 5 Agri Input'!H263</f>
        <v>0</v>
      </c>
      <c r="G22" s="95">
        <f>'16.Facility 5 Agri Input'!I263</f>
        <v>0</v>
      </c>
      <c r="H22" s="95">
        <f>'16.Facility 5 Agri Input'!J263</f>
        <v>0</v>
      </c>
    </row>
    <row r="23" spans="1:16" hidden="1" x14ac:dyDescent="0.2">
      <c r="A23" s="93" t="str">
        <f t="shared" si="1"/>
        <v>Facility 6 - Processing Unit - Horti Commodity</v>
      </c>
      <c r="B23" s="95">
        <f>'17.Facility 6 Horti Processing '!D177</f>
        <v>0</v>
      </c>
      <c r="C23" s="95">
        <f>'17.Facility 6 Horti Processing '!E177</f>
        <v>0</v>
      </c>
      <c r="D23" s="95">
        <f>'17.Facility 6 Horti Processing '!F177</f>
        <v>0</v>
      </c>
      <c r="E23" s="95">
        <f>'17.Facility 6 Horti Processing '!G177</f>
        <v>0</v>
      </c>
      <c r="F23" s="95">
        <f>'17.Facility 6 Horti Processing '!H177</f>
        <v>0</v>
      </c>
      <c r="G23" s="95">
        <f>'17.Facility 6 Horti Processing '!I177</f>
        <v>0</v>
      </c>
      <c r="H23" s="95">
        <f>'17.Facility 6 Horti Processing '!J177</f>
        <v>0</v>
      </c>
    </row>
    <row r="24" spans="1:16" x14ac:dyDescent="0.2">
      <c r="A24" s="93"/>
      <c r="B24" s="95"/>
      <c r="C24" s="95"/>
      <c r="D24" s="95"/>
      <c r="E24" s="95"/>
      <c r="F24" s="95"/>
      <c r="G24" s="95"/>
      <c r="H24" s="95"/>
    </row>
    <row r="25" spans="1:16" x14ac:dyDescent="0.2">
      <c r="A25" s="98" t="s">
        <v>312</v>
      </c>
      <c r="B25" s="104">
        <f>SUM(B18:B24)</f>
        <v>33119501.848999996</v>
      </c>
      <c r="C25" s="104">
        <f t="shared" ref="C25:H25" si="2">SUM(C18:C24)</f>
        <v>38868731.186449997</v>
      </c>
      <c r="D25" s="104">
        <f t="shared" si="2"/>
        <v>44470122.847972512</v>
      </c>
      <c r="E25" s="104">
        <f t="shared" si="2"/>
        <v>50534481.847681142</v>
      </c>
      <c r="F25" s="104">
        <f t="shared" si="2"/>
        <v>57094101.440240718</v>
      </c>
      <c r="G25" s="104">
        <f t="shared" si="2"/>
        <v>64183346.787437022</v>
      </c>
      <c r="H25" s="104">
        <f t="shared" si="2"/>
        <v>71838781.415752381</v>
      </c>
      <c r="J25" s="272">
        <f>B15-B25</f>
        <v>8422698.1510000043</v>
      </c>
      <c r="K25" s="272">
        <f t="shared" ref="K25:P25" si="3">C15-C25</f>
        <v>10002699.813550003</v>
      </c>
      <c r="L25" s="272">
        <f t="shared" si="3"/>
        <v>11518377.2020275</v>
      </c>
      <c r="M25" s="272">
        <f t="shared" si="3"/>
        <v>13160615.579818882</v>
      </c>
      <c r="N25" s="272">
        <f t="shared" si="3"/>
        <v>14938281.852384306</v>
      </c>
      <c r="O25" s="272">
        <f t="shared" si="3"/>
        <v>16860813.213256776</v>
      </c>
      <c r="P25" s="272">
        <f t="shared" si="3"/>
        <v>18938252.005585492</v>
      </c>
    </row>
    <row r="26" spans="1:16" x14ac:dyDescent="0.2">
      <c r="A26" s="93"/>
      <c r="B26" s="95"/>
      <c r="C26" s="95"/>
      <c r="D26" s="95"/>
      <c r="E26" s="95"/>
      <c r="F26" s="95"/>
      <c r="G26" s="95"/>
      <c r="H26" s="95"/>
    </row>
    <row r="27" spans="1:16" x14ac:dyDescent="0.2">
      <c r="A27" s="98" t="s">
        <v>305</v>
      </c>
      <c r="B27" s="95"/>
      <c r="C27" s="95"/>
      <c r="D27" s="95"/>
      <c r="E27" s="95"/>
      <c r="F27" s="95"/>
      <c r="G27" s="95"/>
      <c r="H27" s="95"/>
    </row>
    <row r="28" spans="1:16" x14ac:dyDescent="0.2">
      <c r="A28" s="93" t="str">
        <f t="shared" ref="A28:A33" si="4">A18</f>
        <v>Activity 1 - Fruit Processing Unit</v>
      </c>
      <c r="B28" s="95">
        <f>'12.Facility 1 - Trading'!D221</f>
        <v>1608000</v>
      </c>
      <c r="C28" s="95">
        <f>'12.Facility 1 - Trading'!E221</f>
        <v>1688400</v>
      </c>
      <c r="D28" s="95">
        <f>'12.Facility 1 - Trading'!F221</f>
        <v>1772820</v>
      </c>
      <c r="E28" s="95">
        <f>'12.Facility 1 - Trading'!G221</f>
        <v>1861461.0000000002</v>
      </c>
      <c r="F28" s="95">
        <f>'12.Facility 1 - Trading'!H221</f>
        <v>1954534.0500000003</v>
      </c>
      <c r="G28" s="95">
        <f>'12.Facility 1 - Trading'!I221</f>
        <v>2052260.7525000006</v>
      </c>
      <c r="H28" s="95">
        <f>'12.Facility 1 - Trading'!J221</f>
        <v>2154873.7901250008</v>
      </c>
    </row>
    <row r="29" spans="1:16" hidden="1" x14ac:dyDescent="0.2">
      <c r="A29" s="93" t="str">
        <f t="shared" si="4"/>
        <v>Activity 2 - Cold Press Oil</v>
      </c>
      <c r="B29" s="95">
        <f>'13.Facility 2 Grain Processing'!D180</f>
        <v>0</v>
      </c>
      <c r="C29" s="95">
        <f>'13.Facility 2 Grain Processing'!E180</f>
        <v>0</v>
      </c>
      <c r="D29" s="95">
        <f>'13.Facility 2 Grain Processing'!F180</f>
        <v>0</v>
      </c>
      <c r="E29" s="95">
        <f>'13.Facility 2 Grain Processing'!G180</f>
        <v>0</v>
      </c>
      <c r="F29" s="95">
        <f>'13.Facility 2 Grain Processing'!H180</f>
        <v>0</v>
      </c>
      <c r="G29" s="95">
        <f>'13.Facility 2 Grain Processing'!I180</f>
        <v>0</v>
      </c>
      <c r="H29" s="95">
        <f>'13.Facility 2 Grain Processing'!J180</f>
        <v>0</v>
      </c>
    </row>
    <row r="30" spans="1:16" hidden="1" x14ac:dyDescent="0.2">
      <c r="A30" s="93" t="str">
        <f t="shared" si="4"/>
        <v>Faclitiy 3 - Warehouse</v>
      </c>
      <c r="B30" s="95">
        <f>'14. Facility 3 Warehouse'!D43</f>
        <v>0</v>
      </c>
      <c r="C30" s="95">
        <f>'14. Facility 3 Warehouse'!E43</f>
        <v>0</v>
      </c>
      <c r="D30" s="95">
        <f>'14. Facility 3 Warehouse'!F43</f>
        <v>0</v>
      </c>
      <c r="E30" s="95">
        <f>'14. Facility 3 Warehouse'!G43</f>
        <v>0</v>
      </c>
      <c r="F30" s="95">
        <f>'14. Facility 3 Warehouse'!H43</f>
        <v>0</v>
      </c>
      <c r="G30" s="95">
        <f>'14. Facility 3 Warehouse'!I43</f>
        <v>0</v>
      </c>
      <c r="H30" s="95">
        <f>'14. Facility 3 Warehouse'!J43</f>
        <v>0</v>
      </c>
    </row>
    <row r="31" spans="1:16" hidden="1" x14ac:dyDescent="0.2">
      <c r="A31" s="93" t="str">
        <f t="shared" si="4"/>
        <v xml:space="preserve">Faclitiy 4 - Custom Hiring </v>
      </c>
      <c r="B31" s="95">
        <f>'15. Facility 4 Custom Hiring'!E52</f>
        <v>0</v>
      </c>
      <c r="C31" s="95">
        <f>'15. Facility 4 Custom Hiring'!F52</f>
        <v>0</v>
      </c>
      <c r="D31" s="95">
        <f>'15. Facility 4 Custom Hiring'!G52</f>
        <v>0</v>
      </c>
      <c r="E31" s="95">
        <f>'15. Facility 4 Custom Hiring'!H52</f>
        <v>0</v>
      </c>
      <c r="F31" s="95">
        <f>'15. Facility 4 Custom Hiring'!I52</f>
        <v>0</v>
      </c>
      <c r="G31" s="95">
        <f>'15. Facility 4 Custom Hiring'!J52</f>
        <v>0</v>
      </c>
      <c r="H31" s="95">
        <f>'15. Facility 4 Custom Hiring'!K52</f>
        <v>0</v>
      </c>
    </row>
    <row r="32" spans="1:16" hidden="1" x14ac:dyDescent="0.2">
      <c r="A32" s="93" t="str">
        <f t="shared" si="4"/>
        <v>Faclitiy 5 - Agri Input Centre</v>
      </c>
      <c r="B32" s="95">
        <f>'16.Facility 5 Agri Input'!D274</f>
        <v>0</v>
      </c>
      <c r="C32" s="95">
        <f>'16.Facility 5 Agri Input'!E274</f>
        <v>0</v>
      </c>
      <c r="D32" s="95">
        <f>'16.Facility 5 Agri Input'!F274</f>
        <v>0</v>
      </c>
      <c r="E32" s="95">
        <f>'16.Facility 5 Agri Input'!G274</f>
        <v>0</v>
      </c>
      <c r="F32" s="95">
        <f>'16.Facility 5 Agri Input'!H274</f>
        <v>0</v>
      </c>
      <c r="G32" s="95">
        <f>'16.Facility 5 Agri Input'!I274</f>
        <v>0</v>
      </c>
      <c r="H32" s="95">
        <f>'16.Facility 5 Agri Input'!J274</f>
        <v>0</v>
      </c>
    </row>
    <row r="33" spans="1:10" hidden="1" x14ac:dyDescent="0.2">
      <c r="A33" s="93" t="str">
        <f t="shared" si="4"/>
        <v>Facility 6 - Processing Unit - Horti Commodity</v>
      </c>
      <c r="B33" s="95">
        <f>'17.Facility 6 Horti Processing '!D185</f>
        <v>0</v>
      </c>
      <c r="C33" s="95">
        <f>'17.Facility 6 Horti Processing '!E185</f>
        <v>0</v>
      </c>
      <c r="D33" s="95">
        <f>'17.Facility 6 Horti Processing '!F185</f>
        <v>0</v>
      </c>
      <c r="E33" s="95">
        <f>'17.Facility 6 Horti Processing '!G185</f>
        <v>0</v>
      </c>
      <c r="F33" s="95">
        <f>'17.Facility 6 Horti Processing '!H185</f>
        <v>0</v>
      </c>
      <c r="G33" s="95">
        <f>'17.Facility 6 Horti Processing '!I185</f>
        <v>0</v>
      </c>
      <c r="H33" s="95">
        <f>'17.Facility 6 Horti Processing '!J185</f>
        <v>0</v>
      </c>
    </row>
    <row r="34" spans="1:10" x14ac:dyDescent="0.2">
      <c r="A34" s="93"/>
      <c r="B34" s="95"/>
      <c r="C34" s="95"/>
      <c r="D34" s="95"/>
      <c r="E34" s="95"/>
      <c r="F34" s="95"/>
      <c r="G34" s="95"/>
      <c r="H34" s="95"/>
    </row>
    <row r="35" spans="1:10" x14ac:dyDescent="0.2">
      <c r="A35" s="93" t="s">
        <v>9</v>
      </c>
      <c r="B35" s="95">
        <f>'3.Other Exp &amp; Taxes'!E24</f>
        <v>1696000</v>
      </c>
      <c r="C35" s="95">
        <f>'3.Other Exp &amp; Taxes'!F24</f>
        <v>1780800</v>
      </c>
      <c r="D35" s="95">
        <f>'3.Other Exp &amp; Taxes'!G24</f>
        <v>1869840</v>
      </c>
      <c r="E35" s="95">
        <f>'3.Other Exp &amp; Taxes'!H24</f>
        <v>1963332.0000000002</v>
      </c>
      <c r="F35" s="95">
        <f>'3.Other Exp &amp; Taxes'!I24</f>
        <v>2061498.6</v>
      </c>
      <c r="G35" s="95">
        <f>'3.Other Exp &amp; Taxes'!J24</f>
        <v>2164573.5300000012</v>
      </c>
      <c r="H35" s="95">
        <f>'3.Other Exp &amp; Taxes'!K24</f>
        <v>2272802.2065000008</v>
      </c>
    </row>
    <row r="36" spans="1:10" x14ac:dyDescent="0.2">
      <c r="A36" s="98" t="s">
        <v>316</v>
      </c>
      <c r="B36" s="104">
        <f t="shared" ref="B36:H36" si="5">SUM(B28:B35)</f>
        <v>3304000</v>
      </c>
      <c r="C36" s="104">
        <f t="shared" si="5"/>
        <v>3469200</v>
      </c>
      <c r="D36" s="104">
        <f t="shared" si="5"/>
        <v>3642660</v>
      </c>
      <c r="E36" s="104">
        <f t="shared" si="5"/>
        <v>3824793.0000000005</v>
      </c>
      <c r="F36" s="104">
        <f t="shared" si="5"/>
        <v>4016032.6500000004</v>
      </c>
      <c r="G36" s="104">
        <f t="shared" si="5"/>
        <v>4216834.2825000016</v>
      </c>
      <c r="H36" s="104">
        <f t="shared" si="5"/>
        <v>4427675.9966250015</v>
      </c>
    </row>
    <row r="37" spans="1:10" x14ac:dyDescent="0.2">
      <c r="A37" s="93"/>
      <c r="B37" s="95"/>
      <c r="C37" s="95"/>
      <c r="D37" s="95"/>
      <c r="E37" s="95"/>
      <c r="F37" s="95"/>
      <c r="G37" s="95"/>
      <c r="H37" s="95"/>
    </row>
    <row r="38" spans="1:10" x14ac:dyDescent="0.2">
      <c r="A38" s="98" t="s">
        <v>321</v>
      </c>
      <c r="B38" s="104">
        <f t="shared" ref="B38:H38" si="6">B25+B36</f>
        <v>36423501.848999992</v>
      </c>
      <c r="C38" s="104">
        <f t="shared" si="6"/>
        <v>42337931.186449997</v>
      </c>
      <c r="D38" s="104">
        <f t="shared" si="6"/>
        <v>48112782.847972512</v>
      </c>
      <c r="E38" s="104">
        <f t="shared" si="6"/>
        <v>54359274.847681142</v>
      </c>
      <c r="F38" s="104">
        <f t="shared" si="6"/>
        <v>61110134.090240717</v>
      </c>
      <c r="G38" s="104">
        <f t="shared" si="6"/>
        <v>68400181.069937021</v>
      </c>
      <c r="H38" s="104">
        <f t="shared" si="6"/>
        <v>76266457.412377387</v>
      </c>
    </row>
    <row r="39" spans="1:10" x14ac:dyDescent="0.2">
      <c r="A39" s="93"/>
      <c r="B39" s="95"/>
      <c r="C39" s="95"/>
      <c r="D39" s="95"/>
      <c r="E39" s="95"/>
      <c r="F39" s="95"/>
      <c r="G39" s="95"/>
      <c r="H39" s="95"/>
    </row>
    <row r="40" spans="1:10" x14ac:dyDescent="0.2">
      <c r="A40" s="98" t="s">
        <v>136</v>
      </c>
      <c r="B40" s="104">
        <f t="shared" ref="B40:H40" si="7">B15-B38</f>
        <v>5118698.151000008</v>
      </c>
      <c r="C40" s="104">
        <f t="shared" si="7"/>
        <v>6533499.8135500029</v>
      </c>
      <c r="D40" s="104">
        <f t="shared" si="7"/>
        <v>7875717.2020274997</v>
      </c>
      <c r="E40" s="104">
        <f t="shared" si="7"/>
        <v>9335822.579818882</v>
      </c>
      <c r="F40" s="104">
        <f t="shared" si="7"/>
        <v>10922249.202384308</v>
      </c>
      <c r="G40" s="104">
        <f t="shared" si="7"/>
        <v>12643978.930756778</v>
      </c>
      <c r="H40" s="104">
        <f t="shared" si="7"/>
        <v>14510576.008960485</v>
      </c>
      <c r="J40" s="146">
        <f>B49+B42+B43</f>
        <v>3751916.8446673024</v>
      </c>
    </row>
    <row r="41" spans="1:10" x14ac:dyDescent="0.2">
      <c r="A41" s="93"/>
      <c r="B41" s="95"/>
      <c r="C41" s="95"/>
      <c r="D41" s="95"/>
      <c r="E41" s="95"/>
      <c r="F41" s="95"/>
      <c r="G41" s="95"/>
      <c r="H41" s="95"/>
      <c r="J41" s="92">
        <f>'5.Closing Stock &amp; W Capital'!E57</f>
        <v>860551.11165410955</v>
      </c>
    </row>
    <row r="42" spans="1:10" x14ac:dyDescent="0.2">
      <c r="A42" s="93" t="s">
        <v>17</v>
      </c>
      <c r="B42" s="95">
        <f>'3.Other Exp &amp; Taxes'!C67</f>
        <v>1357557.1910339999</v>
      </c>
      <c r="C42" s="95">
        <f>'3.Other Exp &amp; Taxes'!D67</f>
        <v>1357557.1910339999</v>
      </c>
      <c r="D42" s="95">
        <f>'3.Other Exp &amp; Taxes'!E67</f>
        <v>1357557.1910339999</v>
      </c>
      <c r="E42" s="95">
        <f>'3.Other Exp &amp; Taxes'!F67</f>
        <v>1357557.1910339999</v>
      </c>
      <c r="F42" s="95">
        <f>'3.Other Exp &amp; Taxes'!G67</f>
        <v>1357557.1910339999</v>
      </c>
      <c r="G42" s="95">
        <f>'3.Other Exp &amp; Taxes'!H67</f>
        <v>1357557.1910339999</v>
      </c>
      <c r="H42" s="95">
        <f>'3.Other Exp &amp; Taxes'!I67</f>
        <v>1357557.1910339999</v>
      </c>
      <c r="J42" s="146">
        <f>J40+J41</f>
        <v>4612467.9563214118</v>
      </c>
    </row>
    <row r="43" spans="1:10" x14ac:dyDescent="0.2">
      <c r="A43" s="93" t="s">
        <v>137</v>
      </c>
      <c r="B43" s="95">
        <f>'3.Other Exp &amp; Taxes'!C87</f>
        <v>82310</v>
      </c>
      <c r="C43" s="95">
        <f>'3.Other Exp &amp; Taxes'!D87</f>
        <v>82310</v>
      </c>
      <c r="D43" s="95">
        <f>'3.Other Exp &amp; Taxes'!E87</f>
        <v>82310</v>
      </c>
      <c r="E43" s="95">
        <f>'3.Other Exp &amp; Taxes'!F87</f>
        <v>82310</v>
      </c>
      <c r="F43" s="95">
        <f>'3.Other Exp &amp; Taxes'!G87</f>
        <v>82310</v>
      </c>
      <c r="G43" s="95">
        <f>'3.Other Exp &amp; Taxes'!H87</f>
        <v>0</v>
      </c>
      <c r="H43" s="95">
        <f>'3.Other Exp &amp; Taxes'!I87</f>
        <v>0</v>
      </c>
    </row>
    <row r="44" spans="1:10" x14ac:dyDescent="0.2">
      <c r="A44" s="93"/>
      <c r="B44" s="95"/>
      <c r="C44" s="95"/>
      <c r="D44" s="95"/>
      <c r="E44" s="95"/>
      <c r="F44" s="95"/>
      <c r="G44" s="95"/>
      <c r="H44" s="95"/>
    </row>
    <row r="45" spans="1:10" x14ac:dyDescent="0.2">
      <c r="A45" s="98" t="s">
        <v>138</v>
      </c>
      <c r="B45" s="104">
        <f>B40-B42-B43</f>
        <v>3678830.9599660081</v>
      </c>
      <c r="C45" s="104">
        <f t="shared" ref="C45:H45" si="8">C40-C42-C43</f>
        <v>5093632.6225160025</v>
      </c>
      <c r="D45" s="104">
        <f t="shared" si="8"/>
        <v>6435850.0109934993</v>
      </c>
      <c r="E45" s="104">
        <f t="shared" si="8"/>
        <v>7895955.3887848817</v>
      </c>
      <c r="F45" s="104">
        <f t="shared" si="8"/>
        <v>9482382.0113503076</v>
      </c>
      <c r="G45" s="104">
        <f t="shared" si="8"/>
        <v>11286421.739722777</v>
      </c>
      <c r="H45" s="104">
        <f t="shared" si="8"/>
        <v>13153018.817926485</v>
      </c>
    </row>
    <row r="46" spans="1:10" x14ac:dyDescent="0.2">
      <c r="A46" s="93"/>
      <c r="B46" s="95"/>
      <c r="C46" s="95"/>
      <c r="D46" s="95"/>
      <c r="E46" s="95"/>
      <c r="F46" s="95"/>
      <c r="G46" s="95"/>
      <c r="H46" s="95"/>
    </row>
    <row r="47" spans="1:10" x14ac:dyDescent="0.2">
      <c r="A47" s="93" t="s">
        <v>24</v>
      </c>
      <c r="B47" s="95">
        <f>'8.Cash Flow '!C27+'8.Cash Flow '!C29</f>
        <v>1366781.3063327055</v>
      </c>
      <c r="C47" s="95">
        <f>'8.Cash Flow '!D27+'8.Cash Flow '!D29</f>
        <v>1377620.2556794847</v>
      </c>
      <c r="D47" s="95">
        <f>'8.Cash Flow '!E27+'8.Cash Flow '!E29</f>
        <v>1233136.8902222179</v>
      </c>
      <c r="E47" s="95">
        <f>'8.Cash Flow '!F27+'8.Cash Flow '!F29</f>
        <v>1067216.9130663858</v>
      </c>
      <c r="F47" s="95">
        <f>'8.Cash Flow '!G27+'8.Cash Flow '!G29</f>
        <v>876807.55127159704</v>
      </c>
      <c r="G47" s="95">
        <f>'8.Cash Flow '!H27+'8.Cash Flow '!H29</f>
        <v>805684.07775346737</v>
      </c>
      <c r="H47" s="95">
        <f>'8.Cash Flow '!I27+'8.Cash Flow '!I29</f>
        <v>902435.71650516335</v>
      </c>
    </row>
    <row r="48" spans="1:10" x14ac:dyDescent="0.2">
      <c r="A48" s="93"/>
      <c r="B48" s="95"/>
      <c r="C48" s="95"/>
      <c r="D48" s="95"/>
      <c r="E48" s="95"/>
      <c r="F48" s="95"/>
      <c r="G48" s="95"/>
      <c r="H48" s="95"/>
    </row>
    <row r="49" spans="1:9" x14ac:dyDescent="0.2">
      <c r="A49" s="93" t="s">
        <v>25</v>
      </c>
      <c r="B49" s="95">
        <f>B45-B47</f>
        <v>2312049.6536333025</v>
      </c>
      <c r="C49" s="95">
        <f t="shared" ref="C49:H49" si="9">C45-C47</f>
        <v>3716012.366836518</v>
      </c>
      <c r="D49" s="95">
        <f t="shared" si="9"/>
        <v>5202713.1207712814</v>
      </c>
      <c r="E49" s="95">
        <f t="shared" si="9"/>
        <v>6828738.4757184964</v>
      </c>
      <c r="F49" s="95">
        <f t="shared" si="9"/>
        <v>8605574.4600787107</v>
      </c>
      <c r="G49" s="95">
        <f t="shared" si="9"/>
        <v>10480737.66196931</v>
      </c>
      <c r="H49" s="95">
        <f t="shared" si="9"/>
        <v>12250583.101421323</v>
      </c>
    </row>
    <row r="50" spans="1:9" x14ac:dyDescent="0.2">
      <c r="A50" s="93" t="s">
        <v>26</v>
      </c>
      <c r="B50" s="96" t="str">
        <f>'3.Other Exp &amp; Taxes'!B100</f>
        <v>0</v>
      </c>
      <c r="C50" s="95">
        <f>'3.Other Exp &amp; Taxes'!C100</f>
        <v>489533.29820247344</v>
      </c>
      <c r="D50" s="95">
        <f>'3.Other Exp &amp; Taxes'!D100</f>
        <v>992954.45669281739</v>
      </c>
      <c r="E50" s="95">
        <f>'3.Other Exp &amp; Taxes'!E100</f>
        <v>1509344.8694995805</v>
      </c>
      <c r="F50" s="95">
        <f>'3.Other Exp &amp; Taxes'!F100</f>
        <v>2050764.0806145109</v>
      </c>
      <c r="G50" s="95">
        <f>'3.Other Exp &amp; Taxes'!G100</f>
        <v>2606294.2360050203</v>
      </c>
      <c r="H50" s="95">
        <f>'3.Other Exp &amp; Taxes'!H100</f>
        <v>3125011.5655399747</v>
      </c>
    </row>
    <row r="51" spans="1:9" x14ac:dyDescent="0.2">
      <c r="A51" s="98" t="s">
        <v>28</v>
      </c>
      <c r="B51" s="95">
        <f>B49-B50</f>
        <v>2312049.6536333025</v>
      </c>
      <c r="C51" s="95">
        <f>C49-C50</f>
        <v>3226479.0686340444</v>
      </c>
      <c r="D51" s="95">
        <f>D49-D50</f>
        <v>4209758.6640784638</v>
      </c>
      <c r="E51" s="95">
        <f>E49-E50</f>
        <v>5319393.6062189154</v>
      </c>
      <c r="F51" s="95">
        <f>F49-F50</f>
        <v>6554810.3794641998</v>
      </c>
      <c r="G51" s="95">
        <f t="shared" ref="G51:H51" si="10">G49-G50</f>
        <v>7874443.4259642893</v>
      </c>
      <c r="H51" s="95">
        <f t="shared" si="10"/>
        <v>9125571.535881348</v>
      </c>
    </row>
    <row r="52" spans="1:9" hidden="1" x14ac:dyDescent="0.2">
      <c r="A52" s="93"/>
      <c r="B52" s="95"/>
      <c r="C52" s="95"/>
      <c r="D52" s="95"/>
      <c r="E52" s="95"/>
      <c r="F52" s="95"/>
      <c r="G52" s="95"/>
      <c r="H52" s="95"/>
    </row>
    <row r="53" spans="1:9" hidden="1" x14ac:dyDescent="0.2">
      <c r="A53" s="93" t="s">
        <v>786</v>
      </c>
      <c r="B53" s="95">
        <v>0</v>
      </c>
      <c r="C53" s="95">
        <v>0</v>
      </c>
      <c r="D53" s="95">
        <v>0</v>
      </c>
      <c r="E53" s="95">
        <v>0</v>
      </c>
      <c r="F53" s="95">
        <v>0</v>
      </c>
      <c r="G53" s="95">
        <v>0</v>
      </c>
      <c r="H53" s="95">
        <v>0</v>
      </c>
    </row>
    <row r="54" spans="1:9" hidden="1" x14ac:dyDescent="0.2">
      <c r="A54" s="93"/>
      <c r="B54" s="95"/>
      <c r="C54" s="95"/>
      <c r="D54" s="95"/>
      <c r="E54" s="95"/>
      <c r="F54" s="95"/>
      <c r="G54" s="95"/>
      <c r="H54" s="95"/>
    </row>
    <row r="55" spans="1:9" hidden="1" x14ac:dyDescent="0.2">
      <c r="A55" s="93" t="s">
        <v>785</v>
      </c>
      <c r="B55" s="95">
        <f>B51-B53</f>
        <v>2312049.6536333025</v>
      </c>
      <c r="C55" s="95">
        <f t="shared" ref="C55:H55" si="11">C51-C53</f>
        <v>3226479.0686340444</v>
      </c>
      <c r="D55" s="95">
        <f t="shared" si="11"/>
        <v>4209758.6640784638</v>
      </c>
      <c r="E55" s="95">
        <f t="shared" si="11"/>
        <v>5319393.6062189154</v>
      </c>
      <c r="F55" s="95">
        <f t="shared" si="11"/>
        <v>6554810.3794641998</v>
      </c>
      <c r="G55" s="95">
        <f t="shared" si="11"/>
        <v>7874443.4259642893</v>
      </c>
      <c r="H55" s="95">
        <f t="shared" si="11"/>
        <v>9125571.535881348</v>
      </c>
    </row>
    <row r="56" spans="1:9" hidden="1" x14ac:dyDescent="0.2">
      <c r="B56" s="197"/>
      <c r="C56" s="197"/>
      <c r="D56" s="197"/>
      <c r="E56" s="197"/>
      <c r="F56" s="197"/>
      <c r="G56" s="197"/>
      <c r="H56" s="197"/>
    </row>
    <row r="57" spans="1:9" x14ac:dyDescent="0.2">
      <c r="B57" s="197"/>
      <c r="C57" s="197"/>
      <c r="D57" s="197"/>
      <c r="E57" s="197"/>
      <c r="F57" s="197"/>
      <c r="G57" s="197"/>
      <c r="H57" s="197"/>
    </row>
    <row r="58" spans="1:9" x14ac:dyDescent="0.2">
      <c r="A58" s="92" t="s">
        <v>502</v>
      </c>
      <c r="B58" s="197">
        <f>B51</f>
        <v>2312049.6536333025</v>
      </c>
      <c r="C58" s="197">
        <f t="shared" ref="C58:H58" si="12">B58+C51</f>
        <v>5538528.7222673465</v>
      </c>
      <c r="D58" s="197">
        <f t="shared" si="12"/>
        <v>9748287.3863458112</v>
      </c>
      <c r="E58" s="197">
        <f t="shared" si="12"/>
        <v>15067680.992564727</v>
      </c>
      <c r="F58" s="197">
        <f t="shared" si="12"/>
        <v>21622491.372028925</v>
      </c>
      <c r="G58" s="197">
        <f t="shared" si="12"/>
        <v>29496934.797993213</v>
      </c>
      <c r="H58" s="197">
        <f t="shared" si="12"/>
        <v>38622506.333874561</v>
      </c>
    </row>
    <row r="61" spans="1:9" ht="32.450000000000003" customHeight="1" x14ac:dyDescent="0.2">
      <c r="A61" s="459" t="s">
        <v>396</v>
      </c>
      <c r="B61" s="459"/>
      <c r="C61" s="459"/>
      <c r="D61" s="459"/>
      <c r="E61" s="459"/>
      <c r="F61" s="459"/>
      <c r="G61" s="459"/>
      <c r="H61" s="459"/>
      <c r="I61" s="459"/>
    </row>
    <row r="63" spans="1:9" x14ac:dyDescent="0.2">
      <c r="A63" s="273"/>
    </row>
  </sheetData>
  <mergeCells count="2">
    <mergeCell ref="A2:H2"/>
    <mergeCell ref="A61:I61"/>
  </mergeCells>
  <pageMargins left="0.7" right="0.7" top="0.75" bottom="0.75" header="0.3" footer="0.3"/>
  <pageSetup scale="6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R50"/>
  <sheetViews>
    <sheetView view="pageBreakPreview" zoomScale="80" zoomScaleSheetLayoutView="80" workbookViewId="0">
      <selection activeCell="A4" sqref="A4:H43"/>
    </sheetView>
  </sheetViews>
  <sheetFormatPr defaultRowHeight="15" x14ac:dyDescent="0.2"/>
  <cols>
    <col min="1" max="1" width="37.26171875" style="274" customWidth="1"/>
    <col min="2" max="2" width="18.4296875" style="274" bestFit="1" customWidth="1"/>
    <col min="3" max="3" width="12.5078125" style="274" bestFit="1" customWidth="1"/>
    <col min="4" max="6" width="13.5859375" style="274" bestFit="1" customWidth="1"/>
    <col min="7" max="8" width="12.5078125" style="274" bestFit="1" customWidth="1"/>
    <col min="9" max="9" width="0" style="274" hidden="1" customWidth="1"/>
    <col min="10" max="10" width="32.8203125" style="274" bestFit="1" customWidth="1"/>
    <col min="11" max="16" width="8.7421875" style="274" bestFit="1"/>
    <col min="17" max="17" width="10.22265625" style="274" bestFit="1" customWidth="1"/>
    <col min="18" max="256" width="9.14453125" style="274"/>
    <col min="257" max="257" width="37.26171875" style="274" customWidth="1"/>
    <col min="258" max="258" width="18.4296875" style="274" bestFit="1" customWidth="1"/>
    <col min="259" max="262" width="12.5078125" style="274" bestFit="1" customWidth="1"/>
    <col min="263" max="263" width="11.703125" style="274" bestFit="1" customWidth="1"/>
    <col min="264" max="512" width="9.14453125" style="274"/>
    <col min="513" max="513" width="37.26171875" style="274" customWidth="1"/>
    <col min="514" max="514" width="18.4296875" style="274" bestFit="1" customWidth="1"/>
    <col min="515" max="518" width="12.5078125" style="274" bestFit="1" customWidth="1"/>
    <col min="519" max="519" width="11.703125" style="274" bestFit="1" customWidth="1"/>
    <col min="520" max="768" width="9.14453125" style="274"/>
    <col min="769" max="769" width="37.26171875" style="274" customWidth="1"/>
    <col min="770" max="770" width="18.4296875" style="274" bestFit="1" customWidth="1"/>
    <col min="771" max="774" width="12.5078125" style="274" bestFit="1" customWidth="1"/>
    <col min="775" max="775" width="11.703125" style="274" bestFit="1" customWidth="1"/>
    <col min="776" max="1024" width="9.14453125" style="274"/>
    <col min="1025" max="1025" width="37.26171875" style="274" customWidth="1"/>
    <col min="1026" max="1026" width="18.4296875" style="274" bestFit="1" customWidth="1"/>
    <col min="1027" max="1030" width="12.5078125" style="274" bestFit="1" customWidth="1"/>
    <col min="1031" max="1031" width="11.703125" style="274" bestFit="1" customWidth="1"/>
    <col min="1032" max="1280" width="9.14453125" style="274"/>
    <col min="1281" max="1281" width="37.26171875" style="274" customWidth="1"/>
    <col min="1282" max="1282" width="18.4296875" style="274" bestFit="1" customWidth="1"/>
    <col min="1283" max="1286" width="12.5078125" style="274" bestFit="1" customWidth="1"/>
    <col min="1287" max="1287" width="11.703125" style="274" bestFit="1" customWidth="1"/>
    <col min="1288" max="1536" width="9.14453125" style="274"/>
    <col min="1537" max="1537" width="37.26171875" style="274" customWidth="1"/>
    <col min="1538" max="1538" width="18.4296875" style="274" bestFit="1" customWidth="1"/>
    <col min="1539" max="1542" width="12.5078125" style="274" bestFit="1" customWidth="1"/>
    <col min="1543" max="1543" width="11.703125" style="274" bestFit="1" customWidth="1"/>
    <col min="1544" max="1792" width="9.14453125" style="274"/>
    <col min="1793" max="1793" width="37.26171875" style="274" customWidth="1"/>
    <col min="1794" max="1794" width="18.4296875" style="274" bestFit="1" customWidth="1"/>
    <col min="1795" max="1798" width="12.5078125" style="274" bestFit="1" customWidth="1"/>
    <col min="1799" max="1799" width="11.703125" style="274" bestFit="1" customWidth="1"/>
    <col min="1800" max="2048" width="9.14453125" style="274"/>
    <col min="2049" max="2049" width="37.26171875" style="274" customWidth="1"/>
    <col min="2050" max="2050" width="18.4296875" style="274" bestFit="1" customWidth="1"/>
    <col min="2051" max="2054" width="12.5078125" style="274" bestFit="1" customWidth="1"/>
    <col min="2055" max="2055" width="11.703125" style="274" bestFit="1" customWidth="1"/>
    <col min="2056" max="2304" width="9.14453125" style="274"/>
    <col min="2305" max="2305" width="37.26171875" style="274" customWidth="1"/>
    <col min="2306" max="2306" width="18.4296875" style="274" bestFit="1" customWidth="1"/>
    <col min="2307" max="2310" width="12.5078125" style="274" bestFit="1" customWidth="1"/>
    <col min="2311" max="2311" width="11.703125" style="274" bestFit="1" customWidth="1"/>
    <col min="2312" max="2560" width="9.14453125" style="274"/>
    <col min="2561" max="2561" width="37.26171875" style="274" customWidth="1"/>
    <col min="2562" max="2562" width="18.4296875" style="274" bestFit="1" customWidth="1"/>
    <col min="2563" max="2566" width="12.5078125" style="274" bestFit="1" customWidth="1"/>
    <col min="2567" max="2567" width="11.703125" style="274" bestFit="1" customWidth="1"/>
    <col min="2568" max="2816" width="9.14453125" style="274"/>
    <col min="2817" max="2817" width="37.26171875" style="274" customWidth="1"/>
    <col min="2818" max="2818" width="18.4296875" style="274" bestFit="1" customWidth="1"/>
    <col min="2819" max="2822" width="12.5078125" style="274" bestFit="1" customWidth="1"/>
    <col min="2823" max="2823" width="11.703125" style="274" bestFit="1" customWidth="1"/>
    <col min="2824" max="3072" width="9.14453125" style="274"/>
    <col min="3073" max="3073" width="37.26171875" style="274" customWidth="1"/>
    <col min="3074" max="3074" width="18.4296875" style="274" bestFit="1" customWidth="1"/>
    <col min="3075" max="3078" width="12.5078125" style="274" bestFit="1" customWidth="1"/>
    <col min="3079" max="3079" width="11.703125" style="274" bestFit="1" customWidth="1"/>
    <col min="3080" max="3328" width="9.14453125" style="274"/>
    <col min="3329" max="3329" width="37.26171875" style="274" customWidth="1"/>
    <col min="3330" max="3330" width="18.4296875" style="274" bestFit="1" customWidth="1"/>
    <col min="3331" max="3334" width="12.5078125" style="274" bestFit="1" customWidth="1"/>
    <col min="3335" max="3335" width="11.703125" style="274" bestFit="1" customWidth="1"/>
    <col min="3336" max="3584" width="9.14453125" style="274"/>
    <col min="3585" max="3585" width="37.26171875" style="274" customWidth="1"/>
    <col min="3586" max="3586" width="18.4296875" style="274" bestFit="1" customWidth="1"/>
    <col min="3587" max="3590" width="12.5078125" style="274" bestFit="1" customWidth="1"/>
    <col min="3591" max="3591" width="11.703125" style="274" bestFit="1" customWidth="1"/>
    <col min="3592" max="3840" width="9.14453125" style="274"/>
    <col min="3841" max="3841" width="37.26171875" style="274" customWidth="1"/>
    <col min="3842" max="3842" width="18.4296875" style="274" bestFit="1" customWidth="1"/>
    <col min="3843" max="3846" width="12.5078125" style="274" bestFit="1" customWidth="1"/>
    <col min="3847" max="3847" width="11.703125" style="274" bestFit="1" customWidth="1"/>
    <col min="3848" max="4096" width="9.14453125" style="274"/>
    <col min="4097" max="4097" width="37.26171875" style="274" customWidth="1"/>
    <col min="4098" max="4098" width="18.4296875" style="274" bestFit="1" customWidth="1"/>
    <col min="4099" max="4102" width="12.5078125" style="274" bestFit="1" customWidth="1"/>
    <col min="4103" max="4103" width="11.703125" style="274" bestFit="1" customWidth="1"/>
    <col min="4104" max="4352" width="9.14453125" style="274"/>
    <col min="4353" max="4353" width="37.26171875" style="274" customWidth="1"/>
    <col min="4354" max="4354" width="18.4296875" style="274" bestFit="1" customWidth="1"/>
    <col min="4355" max="4358" width="12.5078125" style="274" bestFit="1" customWidth="1"/>
    <col min="4359" max="4359" width="11.703125" style="274" bestFit="1" customWidth="1"/>
    <col min="4360" max="4608" width="9.14453125" style="274"/>
    <col min="4609" max="4609" width="37.26171875" style="274" customWidth="1"/>
    <col min="4610" max="4610" width="18.4296875" style="274" bestFit="1" customWidth="1"/>
    <col min="4611" max="4614" width="12.5078125" style="274" bestFit="1" customWidth="1"/>
    <col min="4615" max="4615" width="11.703125" style="274" bestFit="1" customWidth="1"/>
    <col min="4616" max="4864" width="9.14453125" style="274"/>
    <col min="4865" max="4865" width="37.26171875" style="274" customWidth="1"/>
    <col min="4866" max="4866" width="18.4296875" style="274" bestFit="1" customWidth="1"/>
    <col min="4867" max="4870" width="12.5078125" style="274" bestFit="1" customWidth="1"/>
    <col min="4871" max="4871" width="11.703125" style="274" bestFit="1" customWidth="1"/>
    <col min="4872" max="5120" width="9.14453125" style="274"/>
    <col min="5121" max="5121" width="37.26171875" style="274" customWidth="1"/>
    <col min="5122" max="5122" width="18.4296875" style="274" bestFit="1" customWidth="1"/>
    <col min="5123" max="5126" width="12.5078125" style="274" bestFit="1" customWidth="1"/>
    <col min="5127" max="5127" width="11.703125" style="274" bestFit="1" customWidth="1"/>
    <col min="5128" max="5376" width="9.14453125" style="274"/>
    <col min="5377" max="5377" width="37.26171875" style="274" customWidth="1"/>
    <col min="5378" max="5378" width="18.4296875" style="274" bestFit="1" customWidth="1"/>
    <col min="5379" max="5382" width="12.5078125" style="274" bestFit="1" customWidth="1"/>
    <col min="5383" max="5383" width="11.703125" style="274" bestFit="1" customWidth="1"/>
    <col min="5384" max="5632" width="9.14453125" style="274"/>
    <col min="5633" max="5633" width="37.26171875" style="274" customWidth="1"/>
    <col min="5634" max="5634" width="18.4296875" style="274" bestFit="1" customWidth="1"/>
    <col min="5635" max="5638" width="12.5078125" style="274" bestFit="1" customWidth="1"/>
    <col min="5639" max="5639" width="11.703125" style="274" bestFit="1" customWidth="1"/>
    <col min="5640" max="5888" width="9.14453125" style="274"/>
    <col min="5889" max="5889" width="37.26171875" style="274" customWidth="1"/>
    <col min="5890" max="5890" width="18.4296875" style="274" bestFit="1" customWidth="1"/>
    <col min="5891" max="5894" width="12.5078125" style="274" bestFit="1" customWidth="1"/>
    <col min="5895" max="5895" width="11.703125" style="274" bestFit="1" customWidth="1"/>
    <col min="5896" max="6144" width="9.14453125" style="274"/>
    <col min="6145" max="6145" width="37.26171875" style="274" customWidth="1"/>
    <col min="6146" max="6146" width="18.4296875" style="274" bestFit="1" customWidth="1"/>
    <col min="6147" max="6150" width="12.5078125" style="274" bestFit="1" customWidth="1"/>
    <col min="6151" max="6151" width="11.703125" style="274" bestFit="1" customWidth="1"/>
    <col min="6152" max="6400" width="9.14453125" style="274"/>
    <col min="6401" max="6401" width="37.26171875" style="274" customWidth="1"/>
    <col min="6402" max="6402" width="18.4296875" style="274" bestFit="1" customWidth="1"/>
    <col min="6403" max="6406" width="12.5078125" style="274" bestFit="1" customWidth="1"/>
    <col min="6407" max="6407" width="11.703125" style="274" bestFit="1" customWidth="1"/>
    <col min="6408" max="6656" width="9.14453125" style="274"/>
    <col min="6657" max="6657" width="37.26171875" style="274" customWidth="1"/>
    <col min="6658" max="6658" width="18.4296875" style="274" bestFit="1" customWidth="1"/>
    <col min="6659" max="6662" width="12.5078125" style="274" bestFit="1" customWidth="1"/>
    <col min="6663" max="6663" width="11.703125" style="274" bestFit="1" customWidth="1"/>
    <col min="6664" max="6912" width="9.14453125" style="274"/>
    <col min="6913" max="6913" width="37.26171875" style="274" customWidth="1"/>
    <col min="6914" max="6914" width="18.4296875" style="274" bestFit="1" customWidth="1"/>
    <col min="6915" max="6918" width="12.5078125" style="274" bestFit="1" customWidth="1"/>
    <col min="6919" max="6919" width="11.703125" style="274" bestFit="1" customWidth="1"/>
    <col min="6920" max="7168" width="9.14453125" style="274"/>
    <col min="7169" max="7169" width="37.26171875" style="274" customWidth="1"/>
    <col min="7170" max="7170" width="18.4296875" style="274" bestFit="1" customWidth="1"/>
    <col min="7171" max="7174" width="12.5078125" style="274" bestFit="1" customWidth="1"/>
    <col min="7175" max="7175" width="11.703125" style="274" bestFit="1" customWidth="1"/>
    <col min="7176" max="7424" width="9.14453125" style="274"/>
    <col min="7425" max="7425" width="37.26171875" style="274" customWidth="1"/>
    <col min="7426" max="7426" width="18.4296875" style="274" bestFit="1" customWidth="1"/>
    <col min="7427" max="7430" width="12.5078125" style="274" bestFit="1" customWidth="1"/>
    <col min="7431" max="7431" width="11.703125" style="274" bestFit="1" customWidth="1"/>
    <col min="7432" max="7680" width="9.14453125" style="274"/>
    <col min="7681" max="7681" width="37.26171875" style="274" customWidth="1"/>
    <col min="7682" max="7682" width="18.4296875" style="274" bestFit="1" customWidth="1"/>
    <col min="7683" max="7686" width="12.5078125" style="274" bestFit="1" customWidth="1"/>
    <col min="7687" max="7687" width="11.703125" style="274" bestFit="1" customWidth="1"/>
    <col min="7688" max="7936" width="9.14453125" style="274"/>
    <col min="7937" max="7937" width="37.26171875" style="274" customWidth="1"/>
    <col min="7938" max="7938" width="18.4296875" style="274" bestFit="1" customWidth="1"/>
    <col min="7939" max="7942" width="12.5078125" style="274" bestFit="1" customWidth="1"/>
    <col min="7943" max="7943" width="11.703125" style="274" bestFit="1" customWidth="1"/>
    <col min="7944" max="8192" width="9.14453125" style="274"/>
    <col min="8193" max="8193" width="37.26171875" style="274" customWidth="1"/>
    <col min="8194" max="8194" width="18.4296875" style="274" bestFit="1" customWidth="1"/>
    <col min="8195" max="8198" width="12.5078125" style="274" bestFit="1" customWidth="1"/>
    <col min="8199" max="8199" width="11.703125" style="274" bestFit="1" customWidth="1"/>
    <col min="8200" max="8448" width="9.14453125" style="274"/>
    <col min="8449" max="8449" width="37.26171875" style="274" customWidth="1"/>
    <col min="8450" max="8450" width="18.4296875" style="274" bestFit="1" customWidth="1"/>
    <col min="8451" max="8454" width="12.5078125" style="274" bestFit="1" customWidth="1"/>
    <col min="8455" max="8455" width="11.703125" style="274" bestFit="1" customWidth="1"/>
    <col min="8456" max="8704" width="9.14453125" style="274"/>
    <col min="8705" max="8705" width="37.26171875" style="274" customWidth="1"/>
    <col min="8706" max="8706" width="18.4296875" style="274" bestFit="1" customWidth="1"/>
    <col min="8707" max="8710" width="12.5078125" style="274" bestFit="1" customWidth="1"/>
    <col min="8711" max="8711" width="11.703125" style="274" bestFit="1" customWidth="1"/>
    <col min="8712" max="8960" width="9.14453125" style="274"/>
    <col min="8961" max="8961" width="37.26171875" style="274" customWidth="1"/>
    <col min="8962" max="8962" width="18.4296875" style="274" bestFit="1" customWidth="1"/>
    <col min="8963" max="8966" width="12.5078125" style="274" bestFit="1" customWidth="1"/>
    <col min="8967" max="8967" width="11.703125" style="274" bestFit="1" customWidth="1"/>
    <col min="8968" max="9216" width="9.14453125" style="274"/>
    <col min="9217" max="9217" width="37.26171875" style="274" customWidth="1"/>
    <col min="9218" max="9218" width="18.4296875" style="274" bestFit="1" customWidth="1"/>
    <col min="9219" max="9222" width="12.5078125" style="274" bestFit="1" customWidth="1"/>
    <col min="9223" max="9223" width="11.703125" style="274" bestFit="1" customWidth="1"/>
    <col min="9224" max="9472" width="9.14453125" style="274"/>
    <col min="9473" max="9473" width="37.26171875" style="274" customWidth="1"/>
    <col min="9474" max="9474" width="18.4296875" style="274" bestFit="1" customWidth="1"/>
    <col min="9475" max="9478" width="12.5078125" style="274" bestFit="1" customWidth="1"/>
    <col min="9479" max="9479" width="11.703125" style="274" bestFit="1" customWidth="1"/>
    <col min="9480" max="9728" width="9.14453125" style="274"/>
    <col min="9729" max="9729" width="37.26171875" style="274" customWidth="1"/>
    <col min="9730" max="9730" width="18.4296875" style="274" bestFit="1" customWidth="1"/>
    <col min="9731" max="9734" width="12.5078125" style="274" bestFit="1" customWidth="1"/>
    <col min="9735" max="9735" width="11.703125" style="274" bestFit="1" customWidth="1"/>
    <col min="9736" max="9984" width="9.14453125" style="274"/>
    <col min="9985" max="9985" width="37.26171875" style="274" customWidth="1"/>
    <col min="9986" max="9986" width="18.4296875" style="274" bestFit="1" customWidth="1"/>
    <col min="9987" max="9990" width="12.5078125" style="274" bestFit="1" customWidth="1"/>
    <col min="9991" max="9991" width="11.703125" style="274" bestFit="1" customWidth="1"/>
    <col min="9992" max="10240" width="9.14453125" style="274"/>
    <col min="10241" max="10241" width="37.26171875" style="274" customWidth="1"/>
    <col min="10242" max="10242" width="18.4296875" style="274" bestFit="1" customWidth="1"/>
    <col min="10243" max="10246" width="12.5078125" style="274" bestFit="1" customWidth="1"/>
    <col min="10247" max="10247" width="11.703125" style="274" bestFit="1" customWidth="1"/>
    <col min="10248" max="10496" width="9.14453125" style="274"/>
    <col min="10497" max="10497" width="37.26171875" style="274" customWidth="1"/>
    <col min="10498" max="10498" width="18.4296875" style="274" bestFit="1" customWidth="1"/>
    <col min="10499" max="10502" width="12.5078125" style="274" bestFit="1" customWidth="1"/>
    <col min="10503" max="10503" width="11.703125" style="274" bestFit="1" customWidth="1"/>
    <col min="10504" max="10752" width="9.14453125" style="274"/>
    <col min="10753" max="10753" width="37.26171875" style="274" customWidth="1"/>
    <col min="10754" max="10754" width="18.4296875" style="274" bestFit="1" customWidth="1"/>
    <col min="10755" max="10758" width="12.5078125" style="274" bestFit="1" customWidth="1"/>
    <col min="10759" max="10759" width="11.703125" style="274" bestFit="1" customWidth="1"/>
    <col min="10760" max="11008" width="9.14453125" style="274"/>
    <col min="11009" max="11009" width="37.26171875" style="274" customWidth="1"/>
    <col min="11010" max="11010" width="18.4296875" style="274" bestFit="1" customWidth="1"/>
    <col min="11011" max="11014" width="12.5078125" style="274" bestFit="1" customWidth="1"/>
    <col min="11015" max="11015" width="11.703125" style="274" bestFit="1" customWidth="1"/>
    <col min="11016" max="11264" width="9.14453125" style="274"/>
    <col min="11265" max="11265" width="37.26171875" style="274" customWidth="1"/>
    <col min="11266" max="11266" width="18.4296875" style="274" bestFit="1" customWidth="1"/>
    <col min="11267" max="11270" width="12.5078125" style="274" bestFit="1" customWidth="1"/>
    <col min="11271" max="11271" width="11.703125" style="274" bestFit="1" customWidth="1"/>
    <col min="11272" max="11520" width="9.14453125" style="274"/>
    <col min="11521" max="11521" width="37.26171875" style="274" customWidth="1"/>
    <col min="11522" max="11522" width="18.4296875" style="274" bestFit="1" customWidth="1"/>
    <col min="11523" max="11526" width="12.5078125" style="274" bestFit="1" customWidth="1"/>
    <col min="11527" max="11527" width="11.703125" style="274" bestFit="1" customWidth="1"/>
    <col min="11528" max="11776" width="9.14453125" style="274"/>
    <col min="11777" max="11777" width="37.26171875" style="274" customWidth="1"/>
    <col min="11778" max="11778" width="18.4296875" style="274" bestFit="1" customWidth="1"/>
    <col min="11779" max="11782" width="12.5078125" style="274" bestFit="1" customWidth="1"/>
    <col min="11783" max="11783" width="11.703125" style="274" bestFit="1" customWidth="1"/>
    <col min="11784" max="12032" width="9.14453125" style="274"/>
    <col min="12033" max="12033" width="37.26171875" style="274" customWidth="1"/>
    <col min="12034" max="12034" width="18.4296875" style="274" bestFit="1" customWidth="1"/>
    <col min="12035" max="12038" width="12.5078125" style="274" bestFit="1" customWidth="1"/>
    <col min="12039" max="12039" width="11.703125" style="274" bestFit="1" customWidth="1"/>
    <col min="12040" max="12288" width="9.14453125" style="274"/>
    <col min="12289" max="12289" width="37.26171875" style="274" customWidth="1"/>
    <col min="12290" max="12290" width="18.4296875" style="274" bestFit="1" customWidth="1"/>
    <col min="12291" max="12294" width="12.5078125" style="274" bestFit="1" customWidth="1"/>
    <col min="12295" max="12295" width="11.703125" style="274" bestFit="1" customWidth="1"/>
    <col min="12296" max="12544" width="9.14453125" style="274"/>
    <col min="12545" max="12545" width="37.26171875" style="274" customWidth="1"/>
    <col min="12546" max="12546" width="18.4296875" style="274" bestFit="1" customWidth="1"/>
    <col min="12547" max="12550" width="12.5078125" style="274" bestFit="1" customWidth="1"/>
    <col min="12551" max="12551" width="11.703125" style="274" bestFit="1" customWidth="1"/>
    <col min="12552" max="12800" width="9.14453125" style="274"/>
    <col min="12801" max="12801" width="37.26171875" style="274" customWidth="1"/>
    <col min="12802" max="12802" width="18.4296875" style="274" bestFit="1" customWidth="1"/>
    <col min="12803" max="12806" width="12.5078125" style="274" bestFit="1" customWidth="1"/>
    <col min="12807" max="12807" width="11.703125" style="274" bestFit="1" customWidth="1"/>
    <col min="12808" max="13056" width="9.14453125" style="274"/>
    <col min="13057" max="13057" width="37.26171875" style="274" customWidth="1"/>
    <col min="13058" max="13058" width="18.4296875" style="274" bestFit="1" customWidth="1"/>
    <col min="13059" max="13062" width="12.5078125" style="274" bestFit="1" customWidth="1"/>
    <col min="13063" max="13063" width="11.703125" style="274" bestFit="1" customWidth="1"/>
    <col min="13064" max="13312" width="9.14453125" style="274"/>
    <col min="13313" max="13313" width="37.26171875" style="274" customWidth="1"/>
    <col min="13314" max="13314" width="18.4296875" style="274" bestFit="1" customWidth="1"/>
    <col min="13315" max="13318" width="12.5078125" style="274" bestFit="1" customWidth="1"/>
    <col min="13319" max="13319" width="11.703125" style="274" bestFit="1" customWidth="1"/>
    <col min="13320" max="13568" width="9.14453125" style="274"/>
    <col min="13569" max="13569" width="37.26171875" style="274" customWidth="1"/>
    <col min="13570" max="13570" width="18.4296875" style="274" bestFit="1" customWidth="1"/>
    <col min="13571" max="13574" width="12.5078125" style="274" bestFit="1" customWidth="1"/>
    <col min="13575" max="13575" width="11.703125" style="274" bestFit="1" customWidth="1"/>
    <col min="13576" max="13824" width="9.14453125" style="274"/>
    <col min="13825" max="13825" width="37.26171875" style="274" customWidth="1"/>
    <col min="13826" max="13826" width="18.4296875" style="274" bestFit="1" customWidth="1"/>
    <col min="13827" max="13830" width="12.5078125" style="274" bestFit="1" customWidth="1"/>
    <col min="13831" max="13831" width="11.703125" style="274" bestFit="1" customWidth="1"/>
    <col min="13832" max="14080" width="9.14453125" style="274"/>
    <col min="14081" max="14081" width="37.26171875" style="274" customWidth="1"/>
    <col min="14082" max="14082" width="18.4296875" style="274" bestFit="1" customWidth="1"/>
    <col min="14083" max="14086" width="12.5078125" style="274" bestFit="1" customWidth="1"/>
    <col min="14087" max="14087" width="11.703125" style="274" bestFit="1" customWidth="1"/>
    <col min="14088" max="14336" width="9.14453125" style="274"/>
    <col min="14337" max="14337" width="37.26171875" style="274" customWidth="1"/>
    <col min="14338" max="14338" width="18.4296875" style="274" bestFit="1" customWidth="1"/>
    <col min="14339" max="14342" width="12.5078125" style="274" bestFit="1" customWidth="1"/>
    <col min="14343" max="14343" width="11.703125" style="274" bestFit="1" customWidth="1"/>
    <col min="14344" max="14592" width="9.14453125" style="274"/>
    <col min="14593" max="14593" width="37.26171875" style="274" customWidth="1"/>
    <col min="14594" max="14594" width="18.4296875" style="274" bestFit="1" customWidth="1"/>
    <col min="14595" max="14598" width="12.5078125" style="274" bestFit="1" customWidth="1"/>
    <col min="14599" max="14599" width="11.703125" style="274" bestFit="1" customWidth="1"/>
    <col min="14600" max="14848" width="9.14453125" style="274"/>
    <col min="14849" max="14849" width="37.26171875" style="274" customWidth="1"/>
    <col min="14850" max="14850" width="18.4296875" style="274" bestFit="1" customWidth="1"/>
    <col min="14851" max="14854" width="12.5078125" style="274" bestFit="1" customWidth="1"/>
    <col min="14855" max="14855" width="11.703125" style="274" bestFit="1" customWidth="1"/>
    <col min="14856" max="15104" width="9.14453125" style="274"/>
    <col min="15105" max="15105" width="37.26171875" style="274" customWidth="1"/>
    <col min="15106" max="15106" width="18.4296875" style="274" bestFit="1" customWidth="1"/>
    <col min="15107" max="15110" width="12.5078125" style="274" bestFit="1" customWidth="1"/>
    <col min="15111" max="15111" width="11.703125" style="274" bestFit="1" customWidth="1"/>
    <col min="15112" max="15360" width="9.14453125" style="274"/>
    <col min="15361" max="15361" width="37.26171875" style="274" customWidth="1"/>
    <col min="15362" max="15362" width="18.4296875" style="274" bestFit="1" customWidth="1"/>
    <col min="15363" max="15366" width="12.5078125" style="274" bestFit="1" customWidth="1"/>
    <col min="15367" max="15367" width="11.703125" style="274" bestFit="1" customWidth="1"/>
    <col min="15368" max="15616" width="9.14453125" style="274"/>
    <col min="15617" max="15617" width="37.26171875" style="274" customWidth="1"/>
    <col min="15618" max="15618" width="18.4296875" style="274" bestFit="1" customWidth="1"/>
    <col min="15619" max="15622" width="12.5078125" style="274" bestFit="1" customWidth="1"/>
    <col min="15623" max="15623" width="11.703125" style="274" bestFit="1" customWidth="1"/>
    <col min="15624" max="15872" width="9.14453125" style="274"/>
    <col min="15873" max="15873" width="37.26171875" style="274" customWidth="1"/>
    <col min="15874" max="15874" width="18.4296875" style="274" bestFit="1" customWidth="1"/>
    <col min="15875" max="15878" width="12.5078125" style="274" bestFit="1" customWidth="1"/>
    <col min="15879" max="15879" width="11.703125" style="274" bestFit="1" customWidth="1"/>
    <col min="15880" max="16128" width="9.14453125" style="274"/>
    <col min="16129" max="16129" width="37.26171875" style="274" customWidth="1"/>
    <col min="16130" max="16130" width="18.4296875" style="274" bestFit="1" customWidth="1"/>
    <col min="16131" max="16134" width="12.5078125" style="274" bestFit="1" customWidth="1"/>
    <col min="16135" max="16135" width="11.703125" style="274" bestFit="1" customWidth="1"/>
    <col min="16136" max="16384" width="9.14453125" style="274"/>
  </cols>
  <sheetData>
    <row r="1" spans="1:18" x14ac:dyDescent="0.2">
      <c r="A1" s="438"/>
      <c r="B1" s="438"/>
      <c r="C1" s="438"/>
      <c r="D1" s="438"/>
      <c r="E1" s="438"/>
      <c r="F1" s="438"/>
    </row>
    <row r="2" spans="1:18" ht="18.75" x14ac:dyDescent="0.25">
      <c r="A2" s="460" t="s">
        <v>554</v>
      </c>
      <c r="B2" s="427"/>
      <c r="C2" s="427"/>
      <c r="D2" s="427"/>
      <c r="E2" s="427"/>
      <c r="F2" s="427"/>
      <c r="G2" s="427"/>
      <c r="H2" s="427"/>
      <c r="I2" s="151"/>
    </row>
    <row r="3" spans="1:18" x14ac:dyDescent="0.2">
      <c r="A3" s="275"/>
      <c r="B3" s="276"/>
      <c r="C3" s="276"/>
      <c r="D3" s="276"/>
      <c r="E3" s="276"/>
      <c r="F3" s="276"/>
    </row>
    <row r="4" spans="1:18" x14ac:dyDescent="0.2">
      <c r="A4" s="277" t="s">
        <v>0</v>
      </c>
      <c r="B4" s="278" t="s">
        <v>2</v>
      </c>
      <c r="C4" s="278" t="s">
        <v>3</v>
      </c>
      <c r="D4" s="278" t="s">
        <v>4</v>
      </c>
      <c r="E4" s="278" t="s">
        <v>5</v>
      </c>
      <c r="F4" s="278" t="s">
        <v>6</v>
      </c>
      <c r="G4" s="127" t="s">
        <v>168</v>
      </c>
      <c r="H4" s="127" t="s">
        <v>167</v>
      </c>
    </row>
    <row r="5" spans="1:18" x14ac:dyDescent="0.2">
      <c r="A5" s="279"/>
      <c r="B5" s="280"/>
      <c r="C5" s="281"/>
      <c r="D5" s="281"/>
      <c r="E5" s="281"/>
      <c r="F5" s="281"/>
      <c r="G5" s="281"/>
      <c r="H5" s="281"/>
    </row>
    <row r="6" spans="1:18" x14ac:dyDescent="0.2">
      <c r="A6" s="282" t="s">
        <v>48</v>
      </c>
      <c r="B6" s="283"/>
      <c r="C6" s="283"/>
      <c r="D6" s="283"/>
      <c r="E6" s="283"/>
      <c r="F6" s="283"/>
      <c r="G6" s="283"/>
      <c r="H6" s="283"/>
    </row>
    <row r="7" spans="1:18" x14ac:dyDescent="0.2">
      <c r="A7" s="284" t="s">
        <v>49</v>
      </c>
      <c r="B7" s="285"/>
      <c r="C7" s="285"/>
      <c r="D7" s="285"/>
      <c r="E7" s="285"/>
      <c r="F7" s="285"/>
      <c r="G7" s="285"/>
      <c r="H7" s="285"/>
    </row>
    <row r="8" spans="1:18" x14ac:dyDescent="0.2">
      <c r="A8" s="286" t="s">
        <v>246</v>
      </c>
      <c r="B8" s="287">
        <f>'8.Cash Flow '!C37</f>
        <v>2976407.7076080143</v>
      </c>
      <c r="C8" s="287">
        <f>'8.Cash Flow '!D37</f>
        <v>6806223.3962321132</v>
      </c>
      <c r="D8" s="287">
        <f>'8.Cash Flow '!E37</f>
        <v>10543535.133101925</v>
      </c>
      <c r="E8" s="287">
        <f>'8.Cash Flow '!F37</f>
        <v>15147952.516444273</v>
      </c>
      <c r="F8" s="287">
        <f>'8.Cash Flow '!G37</f>
        <v>20714498.592133023</v>
      </c>
      <c r="G8" s="287">
        <f>'8.Cash Flow '!H37</f>
        <v>29946499.209131308</v>
      </c>
      <c r="H8" s="287">
        <f>'8.Cash Flow '!I37</f>
        <v>40429627.936046652</v>
      </c>
      <c r="K8" s="288"/>
      <c r="L8" s="288"/>
      <c r="M8" s="288"/>
      <c r="N8" s="288"/>
      <c r="O8" s="288"/>
      <c r="P8" s="288"/>
      <c r="Q8" s="288"/>
      <c r="R8" s="288"/>
    </row>
    <row r="9" spans="1:18" x14ac:dyDescent="0.2">
      <c r="A9" s="289" t="s">
        <v>247</v>
      </c>
      <c r="B9" s="290">
        <f>'5.Closing Stock &amp; W Capital'!E42</f>
        <v>3414427.3972602738</v>
      </c>
      <c r="C9" s="290">
        <f>'5.Closing Stock &amp; W Capital'!F42</f>
        <v>4016829.9452054799</v>
      </c>
      <c r="D9" s="290">
        <f>'5.Closing Stock &amp; W Capital'!G42</f>
        <v>4601794.5246575354</v>
      </c>
      <c r="E9" s="290">
        <f>'5.Closing Stock &amp; W Capital'!H42</f>
        <v>5235213.4871917833</v>
      </c>
      <c r="F9" s="290">
        <f>'5.Closing Stock &amp; W Capital'!I42</f>
        <v>5920469.8596678097</v>
      </c>
      <c r="G9" s="290">
        <f>'5.Closing Stock &amp; W Capital'!J42</f>
        <v>6661163.8356734626</v>
      </c>
      <c r="H9" s="290">
        <f>'5.Closing Stock &amp; W Capital'!K42</f>
        <v>7461126.03463051</v>
      </c>
      <c r="K9" s="288"/>
      <c r="L9" s="288"/>
      <c r="M9" s="288"/>
      <c r="N9" s="288"/>
      <c r="O9" s="288"/>
      <c r="P9" s="288"/>
      <c r="Q9" s="288"/>
      <c r="R9" s="288"/>
    </row>
    <row r="10" spans="1:18" x14ac:dyDescent="0.2">
      <c r="A10" s="289" t="s">
        <v>593</v>
      </c>
      <c r="B10" s="290">
        <f>'5.Closing Stock &amp; W Capital'!E21</f>
        <v>675908.201</v>
      </c>
      <c r="C10" s="290">
        <f>'5.Closing Stock &amp; W Capital'!F21</f>
        <v>779445.36705</v>
      </c>
      <c r="D10" s="290">
        <f>'5.Closing Stock &amp; W Capital'!G21</f>
        <v>891646.47920250031</v>
      </c>
      <c r="E10" s="290">
        <f>'5.Closing Stock &amp; W Capital'!H21</f>
        <v>1013119.0891526254</v>
      </c>
      <c r="F10" s="290">
        <f>'5.Closing Stock &amp; W Capital'!I21</f>
        <v>1144509.8438997569</v>
      </c>
      <c r="G10" s="290">
        <f>'5.Closing Stock &amp; W Capital'!J21</f>
        <v>1286506.8763987196</v>
      </c>
      <c r="H10" s="290">
        <f>'5.Closing Stock &amp; W Capital'!K21</f>
        <v>1439842.33753783</v>
      </c>
      <c r="K10" s="288"/>
      <c r="L10" s="288"/>
      <c r="M10" s="288"/>
      <c r="N10" s="288"/>
      <c r="O10" s="288"/>
      <c r="P10" s="288"/>
      <c r="Q10" s="288"/>
      <c r="R10" s="288"/>
    </row>
    <row r="11" spans="1:18" x14ac:dyDescent="0.2">
      <c r="A11" s="284" t="s">
        <v>248</v>
      </c>
      <c r="B11" s="287">
        <f t="shared" ref="B11:H11" si="0">SUM(B8:B10)</f>
        <v>7066743.3058682885</v>
      </c>
      <c r="C11" s="287">
        <f t="shared" si="0"/>
        <v>11602498.708487593</v>
      </c>
      <c r="D11" s="287">
        <f t="shared" si="0"/>
        <v>16036976.136961961</v>
      </c>
      <c r="E11" s="287">
        <f t="shared" si="0"/>
        <v>21396285.092788681</v>
      </c>
      <c r="F11" s="287">
        <f t="shared" si="0"/>
        <v>27779478.295700587</v>
      </c>
      <c r="G11" s="287">
        <f t="shared" si="0"/>
        <v>37894169.921203487</v>
      </c>
      <c r="H11" s="287">
        <f t="shared" si="0"/>
        <v>49330596.308214992</v>
      </c>
    </row>
    <row r="12" spans="1:18" x14ac:dyDescent="0.2">
      <c r="A12" s="284"/>
      <c r="B12" s="290"/>
      <c r="C12" s="290"/>
      <c r="D12" s="290"/>
      <c r="E12" s="290"/>
      <c r="F12" s="290"/>
      <c r="G12" s="290"/>
      <c r="H12" s="290"/>
      <c r="J12" s="288"/>
      <c r="K12" s="288"/>
      <c r="L12" s="288"/>
      <c r="M12" s="288"/>
      <c r="N12" s="288"/>
      <c r="O12" s="288"/>
      <c r="P12" s="288"/>
      <c r="Q12" s="288"/>
    </row>
    <row r="13" spans="1:18" x14ac:dyDescent="0.2">
      <c r="A13" s="291" t="s">
        <v>249</v>
      </c>
      <c r="B13" s="290">
        <f>'3.Other Exp &amp; Taxes'!C66</f>
        <v>29481382.8224</v>
      </c>
      <c r="C13" s="290">
        <f>'3.Other Exp &amp; Taxes'!D66</f>
        <v>28123825.631366003</v>
      </c>
      <c r="D13" s="290">
        <f>'3.Other Exp &amp; Taxes'!E66</f>
        <v>26766268.440332003</v>
      </c>
      <c r="E13" s="290">
        <f>'3.Other Exp &amp; Taxes'!F66</f>
        <v>25408711.249298003</v>
      </c>
      <c r="F13" s="290">
        <f>'3.Other Exp &amp; Taxes'!G66</f>
        <v>24051154.058264006</v>
      </c>
      <c r="G13" s="290">
        <f>'3.Other Exp &amp; Taxes'!H66</f>
        <v>22693596.867230006</v>
      </c>
      <c r="H13" s="290">
        <f>'3.Other Exp &amp; Taxes'!I66</f>
        <v>21336039.676196001</v>
      </c>
    </row>
    <row r="14" spans="1:18" x14ac:dyDescent="0.2">
      <c r="A14" s="291" t="s">
        <v>250</v>
      </c>
      <c r="B14" s="290">
        <f>'3.Other Exp &amp; Taxes'!C67</f>
        <v>1357557.1910339999</v>
      </c>
      <c r="C14" s="290">
        <f>'3.Other Exp &amp; Taxes'!D67</f>
        <v>1357557.1910339999</v>
      </c>
      <c r="D14" s="290">
        <f>'3.Other Exp &amp; Taxes'!E67</f>
        <v>1357557.1910339999</v>
      </c>
      <c r="E14" s="290">
        <f>'3.Other Exp &amp; Taxes'!F67</f>
        <v>1357557.1910339999</v>
      </c>
      <c r="F14" s="290">
        <f>'3.Other Exp &amp; Taxes'!G67</f>
        <v>1357557.1910339999</v>
      </c>
      <c r="G14" s="290">
        <f>'3.Other Exp &amp; Taxes'!H67</f>
        <v>1357557.1910339999</v>
      </c>
      <c r="H14" s="290">
        <f>'3.Other Exp &amp; Taxes'!I67</f>
        <v>1357557.1910339999</v>
      </c>
      <c r="K14" s="288"/>
      <c r="L14" s="288"/>
      <c r="M14" s="288"/>
      <c r="N14" s="288"/>
      <c r="O14" s="288"/>
      <c r="P14" s="288"/>
      <c r="Q14" s="288"/>
    </row>
    <row r="15" spans="1:18" s="276" customFormat="1" x14ac:dyDescent="0.2">
      <c r="A15" s="284" t="s">
        <v>197</v>
      </c>
      <c r="B15" s="287">
        <f t="shared" ref="B15:H15" si="1">B13-B14</f>
        <v>28123825.631366</v>
      </c>
      <c r="C15" s="287">
        <f t="shared" si="1"/>
        <v>26766268.440332003</v>
      </c>
      <c r="D15" s="287">
        <f t="shared" si="1"/>
        <v>25408711.249298003</v>
      </c>
      <c r="E15" s="287">
        <f t="shared" si="1"/>
        <v>24051154.058264002</v>
      </c>
      <c r="F15" s="287">
        <f t="shared" si="1"/>
        <v>22693596.867230006</v>
      </c>
      <c r="G15" s="287">
        <f t="shared" si="1"/>
        <v>21336039.676196005</v>
      </c>
      <c r="H15" s="287">
        <f t="shared" si="1"/>
        <v>19978482.485162001</v>
      </c>
    </row>
    <row r="16" spans="1:18" s="276" customFormat="1" x14ac:dyDescent="0.2">
      <c r="A16" s="284"/>
      <c r="B16" s="287"/>
      <c r="C16" s="287"/>
      <c r="D16" s="287"/>
      <c r="E16" s="287"/>
      <c r="F16" s="287"/>
      <c r="G16" s="287"/>
      <c r="H16" s="287"/>
    </row>
    <row r="17" spans="1:8" s="276" customFormat="1" x14ac:dyDescent="0.2">
      <c r="A17" s="292"/>
      <c r="B17" s="287"/>
      <c r="C17" s="287"/>
      <c r="D17" s="287"/>
      <c r="E17" s="287"/>
      <c r="F17" s="287"/>
      <c r="G17" s="287"/>
      <c r="H17" s="287"/>
    </row>
    <row r="18" spans="1:8" s="276" customFormat="1" x14ac:dyDescent="0.2">
      <c r="A18" s="284" t="s">
        <v>504</v>
      </c>
      <c r="B18" s="287">
        <f>'8.Cash Flow '!C21-'6.Cons Profit &amp; Loss'!B43</f>
        <v>329240</v>
      </c>
      <c r="C18" s="287">
        <f>B18-'6.Cons Profit &amp; Loss'!C43</f>
        <v>246930</v>
      </c>
      <c r="D18" s="287">
        <f>C18-'6.Cons Profit &amp; Loss'!D43</f>
        <v>164620</v>
      </c>
      <c r="E18" s="287">
        <f>D18-'6.Cons Profit &amp; Loss'!E43</f>
        <v>82310</v>
      </c>
      <c r="F18" s="308">
        <f>E18-'6.Cons Profit &amp; Loss'!F43</f>
        <v>0</v>
      </c>
      <c r="G18" s="308">
        <f>F18-'6.Cons Profit &amp; Loss'!G43</f>
        <v>0</v>
      </c>
      <c r="H18" s="308">
        <f>G18-'6.Cons Profit &amp; Loss'!H43</f>
        <v>0</v>
      </c>
    </row>
    <row r="19" spans="1:8" x14ac:dyDescent="0.2">
      <c r="A19" s="291"/>
      <c r="B19" s="290"/>
      <c r="C19" s="290"/>
      <c r="D19" s="290"/>
      <c r="E19" s="290"/>
      <c r="F19" s="290"/>
      <c r="G19" s="290"/>
      <c r="H19" s="290"/>
    </row>
    <row r="20" spans="1:8" x14ac:dyDescent="0.2">
      <c r="A20" s="292" t="s">
        <v>252</v>
      </c>
      <c r="B20" s="293">
        <f t="shared" ref="B20:H20" si="2">B11+B15+B17+B18</f>
        <v>35519808.93723429</v>
      </c>
      <c r="C20" s="293">
        <f t="shared" si="2"/>
        <v>38615697.148819596</v>
      </c>
      <c r="D20" s="293">
        <f t="shared" si="2"/>
        <v>41610307.386259966</v>
      </c>
      <c r="E20" s="293">
        <f t="shared" si="2"/>
        <v>45529749.151052684</v>
      </c>
      <c r="F20" s="293">
        <f t="shared" si="2"/>
        <v>50473075.162930593</v>
      </c>
      <c r="G20" s="293">
        <f t="shared" si="2"/>
        <v>59230209.597399488</v>
      </c>
      <c r="H20" s="293">
        <f t="shared" si="2"/>
        <v>69309078.793376997</v>
      </c>
    </row>
    <row r="21" spans="1:8" x14ac:dyDescent="0.2">
      <c r="A21" s="279"/>
      <c r="B21" s="294"/>
      <c r="C21" s="294"/>
      <c r="D21" s="294"/>
      <c r="E21" s="294"/>
      <c r="F21" s="294"/>
      <c r="G21" s="294"/>
      <c r="H21" s="294"/>
    </row>
    <row r="22" spans="1:8" x14ac:dyDescent="0.2">
      <c r="A22" s="282" t="s">
        <v>253</v>
      </c>
      <c r="B22" s="295"/>
      <c r="C22" s="295"/>
      <c r="D22" s="295"/>
      <c r="E22" s="295"/>
      <c r="F22" s="295"/>
      <c r="G22" s="295"/>
      <c r="H22" s="295"/>
    </row>
    <row r="23" spans="1:8" x14ac:dyDescent="0.2">
      <c r="A23" s="284" t="s">
        <v>254</v>
      </c>
      <c r="B23" s="295"/>
      <c r="C23" s="295"/>
      <c r="D23" s="295"/>
      <c r="E23" s="295"/>
      <c r="F23" s="295"/>
      <c r="G23" s="295"/>
      <c r="H23" s="295"/>
    </row>
    <row r="24" spans="1:8" x14ac:dyDescent="0.2">
      <c r="A24" s="289" t="s">
        <v>255</v>
      </c>
      <c r="B24" s="287">
        <f>'5.Closing Stock &amp; W Capital'!E56-'5.Closing Stock &amp; W Capital'!E57</f>
        <v>2581653.3349623289</v>
      </c>
      <c r="C24" s="287">
        <f>'5.Closing Stock &amp; W Capital'!F56-'5.Closing Stock &amp; W Capital'!F57</f>
        <v>4048861.946591096</v>
      </c>
      <c r="D24" s="287">
        <f>'5.Closing Stock &amp; W Capital'!G56-'5.Closing Stock &amp; W Capital'!G57</f>
        <v>4638437.5306521589</v>
      </c>
      <c r="E24" s="287">
        <f>'5.Closing Stock &amp; W Capital'!H56-'5.Closing Stock &amp; W Capital'!H57</f>
        <v>5276848.5182528505</v>
      </c>
      <c r="F24" s="287">
        <f>'5.Closing Stock &amp; W Capital'!I56-'5.Closing Stock &amp; W Capital'!I57</f>
        <v>5967504.5107869776</v>
      </c>
      <c r="G24" s="287">
        <f>'5.Closing Stock &amp; W Capital'!J56-'5.Closing Stock &amp; W Capital'!J57</f>
        <v>6714033.9812788898</v>
      </c>
      <c r="H24" s="287">
        <f>'5.Closing Stock &amp; W Capital'!K56-'5.Closing Stock &amp; W Capital'!K57</f>
        <v>7520297.6375430236</v>
      </c>
    </row>
    <row r="25" spans="1:8" x14ac:dyDescent="0.2">
      <c r="A25" s="289" t="s">
        <v>256</v>
      </c>
      <c r="B25" s="294">
        <f>'5.Closing Stock &amp; W Capital'!E55</f>
        <v>648131.15164383559</v>
      </c>
      <c r="C25" s="294">
        <f>'5.Closing Stock &amp; W Capital'!F55</f>
        <v>747413.36566438351</v>
      </c>
      <c r="D25" s="294">
        <f>'5.Closing Stock &amp; W Capital'!G55</f>
        <v>855003.47320787702</v>
      </c>
      <c r="E25" s="294">
        <f>'5.Closing Stock &amp; W Capital'!H55</f>
        <v>971484.05809155852</v>
      </c>
      <c r="F25" s="294">
        <f>'5.Closing Stock &amp; W Capital'!I55</f>
        <v>1097475.192780589</v>
      </c>
      <c r="G25" s="294">
        <f>'5.Closing Stock &amp; W Capital'!J55</f>
        <v>1233636.7307932929</v>
      </c>
      <c r="H25" s="294">
        <f>'5.Closing Stock &amp; W Capital'!K55</f>
        <v>1380670.7346253162</v>
      </c>
    </row>
    <row r="26" spans="1:8" x14ac:dyDescent="0.2">
      <c r="A26" s="289" t="s">
        <v>257</v>
      </c>
      <c r="B26" s="287"/>
      <c r="C26" s="287"/>
      <c r="D26" s="287"/>
      <c r="E26" s="287"/>
      <c r="F26" s="287"/>
      <c r="G26" s="287"/>
      <c r="H26" s="287"/>
    </row>
    <row r="27" spans="1:8" x14ac:dyDescent="0.2">
      <c r="A27" s="284" t="s">
        <v>258</v>
      </c>
      <c r="B27" s="293">
        <f t="shared" ref="B27:H27" si="3">SUM(B24:B26)</f>
        <v>3229784.4866061644</v>
      </c>
      <c r="C27" s="293">
        <f t="shared" si="3"/>
        <v>4796275.3122554794</v>
      </c>
      <c r="D27" s="293">
        <f t="shared" si="3"/>
        <v>5493441.0038600359</v>
      </c>
      <c r="E27" s="293">
        <f t="shared" si="3"/>
        <v>6248332.576344409</v>
      </c>
      <c r="F27" s="293">
        <f t="shared" si="3"/>
        <v>7064979.7035675664</v>
      </c>
      <c r="G27" s="293">
        <f t="shared" si="3"/>
        <v>7947670.7120721824</v>
      </c>
      <c r="H27" s="293">
        <f t="shared" si="3"/>
        <v>8900968.3721683398</v>
      </c>
    </row>
    <row r="28" spans="1:8" x14ac:dyDescent="0.2">
      <c r="A28" s="284" t="s">
        <v>259</v>
      </c>
      <c r="B28" s="293">
        <f>'4.TL repayment sch'!G21</f>
        <v>8192370.7096607201</v>
      </c>
      <c r="C28" s="293">
        <f>'4.TL repayment sch'!G33</f>
        <v>6495289.0269626649</v>
      </c>
      <c r="D28" s="293">
        <f>'4.TL repayment sch'!G45</f>
        <v>4582974.9087200165</v>
      </c>
      <c r="E28" s="293">
        <f>'4.TL repayment sch'!G57</f>
        <v>2428131.4948094524</v>
      </c>
      <c r="F28" s="308">
        <f>'4.TL repayment sch'!G69</f>
        <v>4.1327439248561859E-9</v>
      </c>
      <c r="G28" s="308">
        <f>'4.TL repayment sch'!G81</f>
        <v>4.6568792976537853E-9</v>
      </c>
      <c r="H28" s="308">
        <f>'[5]Term Loan'!J72+'[5]Term Loan'!S72</f>
        <v>0</v>
      </c>
    </row>
    <row r="29" spans="1:8" x14ac:dyDescent="0.2">
      <c r="A29" s="284" t="s">
        <v>260</v>
      </c>
      <c r="B29" s="293"/>
      <c r="C29" s="293"/>
      <c r="D29" s="293"/>
      <c r="E29" s="293"/>
      <c r="F29" s="293"/>
      <c r="G29" s="293"/>
      <c r="H29" s="293"/>
    </row>
    <row r="30" spans="1:8" x14ac:dyDescent="0.2">
      <c r="A30" s="284"/>
      <c r="B30" s="296"/>
      <c r="C30" s="296"/>
      <c r="D30" s="296"/>
      <c r="E30" s="296"/>
      <c r="F30" s="296"/>
      <c r="G30" s="296"/>
      <c r="H30" s="296"/>
    </row>
    <row r="31" spans="1:8" x14ac:dyDescent="0.2">
      <c r="A31" s="292" t="s">
        <v>261</v>
      </c>
      <c r="B31" s="293">
        <f t="shared" ref="B31:H31" si="4">SUM(B27:B29)</f>
        <v>11422155.196266884</v>
      </c>
      <c r="C31" s="293">
        <f t="shared" si="4"/>
        <v>11291564.339218143</v>
      </c>
      <c r="D31" s="293">
        <f t="shared" si="4"/>
        <v>10076415.912580052</v>
      </c>
      <c r="E31" s="293">
        <f t="shared" si="4"/>
        <v>8676464.0711538605</v>
      </c>
      <c r="F31" s="293">
        <f t="shared" si="4"/>
        <v>7064979.7035675701</v>
      </c>
      <c r="G31" s="293">
        <f t="shared" si="4"/>
        <v>7947670.7120721871</v>
      </c>
      <c r="H31" s="293">
        <f t="shared" si="4"/>
        <v>8900968.3721683398</v>
      </c>
    </row>
    <row r="32" spans="1:8" x14ac:dyDescent="0.2">
      <c r="A32" s="279"/>
      <c r="B32" s="297"/>
      <c r="C32" s="297"/>
      <c r="D32" s="297"/>
      <c r="E32" s="297"/>
      <c r="F32" s="297"/>
      <c r="G32" s="297"/>
      <c r="H32" s="297"/>
    </row>
    <row r="33" spans="1:8" x14ac:dyDescent="0.2">
      <c r="A33" s="291" t="s">
        <v>262</v>
      </c>
      <c r="B33" s="290">
        <f>'1.Project Cost and MOF'!E21</f>
        <v>3849844.3938941099</v>
      </c>
      <c r="C33" s="290">
        <f>B33</f>
        <v>3849844.3938941099</v>
      </c>
      <c r="D33" s="290">
        <f t="shared" ref="D33:H34" si="5">C33</f>
        <v>3849844.3938941099</v>
      </c>
      <c r="E33" s="290">
        <f t="shared" si="5"/>
        <v>3849844.3938941099</v>
      </c>
      <c r="F33" s="290">
        <f t="shared" si="5"/>
        <v>3849844.3938941099</v>
      </c>
      <c r="G33" s="290">
        <f t="shared" si="5"/>
        <v>3849844.3938941099</v>
      </c>
      <c r="H33" s="290">
        <f t="shared" si="5"/>
        <v>3849844.3938941099</v>
      </c>
    </row>
    <row r="34" spans="1:8" x14ac:dyDescent="0.2">
      <c r="A34" s="291" t="s">
        <v>505</v>
      </c>
      <c r="B34" s="290">
        <f>'1.Project Cost and MOF'!E19</f>
        <v>17935759.693440001</v>
      </c>
      <c r="C34" s="290">
        <f>B34</f>
        <v>17935759.693440001</v>
      </c>
      <c r="D34" s="290">
        <f t="shared" si="5"/>
        <v>17935759.693440001</v>
      </c>
      <c r="E34" s="290">
        <f t="shared" si="5"/>
        <v>17935759.693440001</v>
      </c>
      <c r="F34" s="290">
        <f t="shared" si="5"/>
        <v>17935759.693440001</v>
      </c>
      <c r="G34" s="290">
        <f t="shared" si="5"/>
        <v>17935759.693440001</v>
      </c>
      <c r="H34" s="290">
        <f t="shared" si="5"/>
        <v>17935759.693440001</v>
      </c>
    </row>
    <row r="35" spans="1:8" x14ac:dyDescent="0.2">
      <c r="A35" s="284" t="s">
        <v>263</v>
      </c>
      <c r="B35" s="290"/>
      <c r="C35" s="290"/>
      <c r="D35" s="290"/>
      <c r="E35" s="290"/>
      <c r="F35" s="290"/>
      <c r="G35" s="290"/>
      <c r="H35" s="290"/>
    </row>
    <row r="36" spans="1:8" x14ac:dyDescent="0.2">
      <c r="A36" s="291" t="s">
        <v>264</v>
      </c>
      <c r="B36" s="290">
        <v>0</v>
      </c>
      <c r="C36" s="290">
        <f t="shared" ref="C36:H36" si="6">B39</f>
        <v>2312049.6536333025</v>
      </c>
      <c r="D36" s="290">
        <f t="shared" si="6"/>
        <v>5538528.7222673465</v>
      </c>
      <c r="E36" s="290">
        <f t="shared" si="6"/>
        <v>9748287.3863458112</v>
      </c>
      <c r="F36" s="290">
        <f t="shared" si="6"/>
        <v>15067680.992564727</v>
      </c>
      <c r="G36" s="290">
        <f t="shared" si="6"/>
        <v>21622491.372028925</v>
      </c>
      <c r="H36" s="290">
        <f t="shared" si="6"/>
        <v>29496934.797993213</v>
      </c>
    </row>
    <row r="37" spans="1:8" x14ac:dyDescent="0.2">
      <c r="A37" s="291" t="s">
        <v>265</v>
      </c>
      <c r="B37" s="290">
        <f>'6.Cons Profit &amp; Loss'!B55</f>
        <v>2312049.6536333025</v>
      </c>
      <c r="C37" s="290">
        <f>'6.Cons Profit &amp; Loss'!C55</f>
        <v>3226479.0686340444</v>
      </c>
      <c r="D37" s="290">
        <f>'6.Cons Profit &amp; Loss'!D55</f>
        <v>4209758.6640784638</v>
      </c>
      <c r="E37" s="290">
        <f>'6.Cons Profit &amp; Loss'!E55</f>
        <v>5319393.6062189154</v>
      </c>
      <c r="F37" s="290">
        <f>'6.Cons Profit &amp; Loss'!F55</f>
        <v>6554810.3794641998</v>
      </c>
      <c r="G37" s="290">
        <f>'6.Cons Profit &amp; Loss'!G55</f>
        <v>7874443.4259642893</v>
      </c>
      <c r="H37" s="290">
        <f>'6.Cons Profit &amp; Loss'!H55</f>
        <v>9125571.535881348</v>
      </c>
    </row>
    <row r="38" spans="1:8" x14ac:dyDescent="0.2">
      <c r="A38" s="291" t="s">
        <v>266</v>
      </c>
      <c r="B38" s="290"/>
      <c r="C38" s="290"/>
      <c r="D38" s="290"/>
      <c r="E38" s="290"/>
      <c r="F38" s="290"/>
      <c r="G38" s="290"/>
      <c r="H38" s="290"/>
    </row>
    <row r="39" spans="1:8" x14ac:dyDescent="0.2">
      <c r="A39" s="291" t="s">
        <v>267</v>
      </c>
      <c r="B39" s="290">
        <f t="shared" ref="B39:H39" si="7">B36+B37-B38</f>
        <v>2312049.6536333025</v>
      </c>
      <c r="C39" s="290">
        <f t="shared" si="7"/>
        <v>5538528.7222673465</v>
      </c>
      <c r="D39" s="290">
        <f t="shared" si="7"/>
        <v>9748287.3863458112</v>
      </c>
      <c r="E39" s="290">
        <f t="shared" si="7"/>
        <v>15067680.992564727</v>
      </c>
      <c r="F39" s="290">
        <f t="shared" si="7"/>
        <v>21622491.372028925</v>
      </c>
      <c r="G39" s="290">
        <f t="shared" si="7"/>
        <v>29496934.797993213</v>
      </c>
      <c r="H39" s="290">
        <f t="shared" si="7"/>
        <v>38622506.333874561</v>
      </c>
    </row>
    <row r="40" spans="1:8" x14ac:dyDescent="0.2">
      <c r="A40" s="291"/>
      <c r="B40" s="295"/>
      <c r="C40" s="295"/>
      <c r="D40" s="295"/>
      <c r="E40" s="295"/>
      <c r="F40" s="295"/>
      <c r="G40" s="295"/>
      <c r="H40" s="295"/>
    </row>
    <row r="41" spans="1:8" x14ac:dyDescent="0.2">
      <c r="A41" s="298" t="s">
        <v>268</v>
      </c>
      <c r="B41" s="299">
        <f t="shared" ref="B41:H41" si="8">B33+B39+B34</f>
        <v>24097653.740967415</v>
      </c>
      <c r="C41" s="299">
        <f t="shared" si="8"/>
        <v>27324132.809601456</v>
      </c>
      <c r="D41" s="299">
        <f t="shared" si="8"/>
        <v>31533891.473679923</v>
      </c>
      <c r="E41" s="299">
        <f t="shared" si="8"/>
        <v>36853285.079898834</v>
      </c>
      <c r="F41" s="299">
        <f t="shared" si="8"/>
        <v>43408095.459363036</v>
      </c>
      <c r="G41" s="299">
        <f t="shared" si="8"/>
        <v>51282538.885327324</v>
      </c>
      <c r="H41" s="299">
        <f t="shared" si="8"/>
        <v>60408110.42120868</v>
      </c>
    </row>
    <row r="42" spans="1:8" x14ac:dyDescent="0.2">
      <c r="A42" s="279"/>
      <c r="B42" s="290"/>
      <c r="C42" s="290"/>
      <c r="D42" s="290"/>
      <c r="E42" s="290"/>
      <c r="F42" s="290"/>
      <c r="G42" s="290"/>
      <c r="H42" s="290"/>
    </row>
    <row r="43" spans="1:8" x14ac:dyDescent="0.2">
      <c r="A43" s="292" t="s">
        <v>269</v>
      </c>
      <c r="B43" s="293">
        <f t="shared" ref="B43:H43" si="9">B31+B41</f>
        <v>35519808.937234297</v>
      </c>
      <c r="C43" s="293">
        <f t="shared" si="9"/>
        <v>38615697.148819596</v>
      </c>
      <c r="D43" s="293">
        <f t="shared" si="9"/>
        <v>41610307.386259973</v>
      </c>
      <c r="E43" s="293">
        <f t="shared" si="9"/>
        <v>45529749.151052698</v>
      </c>
      <c r="F43" s="293">
        <f t="shared" si="9"/>
        <v>50473075.162930608</v>
      </c>
      <c r="G43" s="293">
        <f t="shared" si="9"/>
        <v>59230209.59739951</v>
      </c>
      <c r="H43" s="293">
        <f t="shared" si="9"/>
        <v>69309078.793377012</v>
      </c>
    </row>
    <row r="44" spans="1:8" x14ac:dyDescent="0.2">
      <c r="A44" s="279"/>
      <c r="B44" s="300"/>
      <c r="C44" s="300"/>
      <c r="D44" s="300"/>
      <c r="E44" s="300"/>
      <c r="F44" s="300"/>
      <c r="G44" s="300"/>
      <c r="H44" s="300"/>
    </row>
    <row r="45" spans="1:8" x14ac:dyDescent="0.2">
      <c r="A45" s="301" t="s">
        <v>270</v>
      </c>
      <c r="B45" s="302"/>
      <c r="C45" s="302"/>
      <c r="D45" s="302"/>
      <c r="E45" s="302"/>
      <c r="F45" s="302"/>
      <c r="G45" s="302"/>
      <c r="H45" s="302"/>
    </row>
    <row r="46" spans="1:8" x14ac:dyDescent="0.2">
      <c r="A46" s="303" t="s">
        <v>271</v>
      </c>
      <c r="B46" s="304">
        <f t="shared" ref="B46:H46" si="10">B43-B20</f>
        <v>0</v>
      </c>
      <c r="C46" s="304">
        <f t="shared" si="10"/>
        <v>0</v>
      </c>
      <c r="D46" s="304">
        <f t="shared" si="10"/>
        <v>0</v>
      </c>
      <c r="E46" s="304">
        <f t="shared" si="10"/>
        <v>0</v>
      </c>
      <c r="F46" s="304">
        <f t="shared" si="10"/>
        <v>0</v>
      </c>
      <c r="G46" s="304">
        <f t="shared" si="10"/>
        <v>0</v>
      </c>
      <c r="H46" s="304">
        <f t="shared" si="10"/>
        <v>0</v>
      </c>
    </row>
    <row r="47" spans="1:8" x14ac:dyDescent="0.2">
      <c r="A47" s="303"/>
      <c r="B47" s="304"/>
      <c r="C47" s="304"/>
      <c r="D47" s="304"/>
      <c r="E47" s="304"/>
      <c r="F47" s="304"/>
      <c r="G47" s="304"/>
      <c r="H47" s="304"/>
    </row>
    <row r="48" spans="1:8" ht="15.75" thickBot="1" x14ac:dyDescent="0.25">
      <c r="A48" s="305"/>
      <c r="B48" s="306"/>
      <c r="C48" s="306"/>
      <c r="D48" s="306"/>
      <c r="E48" s="306"/>
      <c r="F48" s="306"/>
      <c r="G48" s="306"/>
      <c r="H48" s="306"/>
    </row>
    <row r="49" spans="1:9" x14ac:dyDescent="0.2">
      <c r="B49" s="307"/>
      <c r="C49" s="307"/>
      <c r="D49" s="307"/>
      <c r="E49" s="307"/>
      <c r="F49" s="307"/>
      <c r="G49" s="307"/>
      <c r="H49" s="307"/>
    </row>
    <row r="50" spans="1:9" ht="39.6" customHeight="1" x14ac:dyDescent="0.15">
      <c r="A50" s="461" t="s">
        <v>397</v>
      </c>
      <c r="B50" s="462"/>
      <c r="C50" s="462"/>
      <c r="D50" s="462"/>
      <c r="E50" s="462"/>
      <c r="F50" s="462"/>
      <c r="G50" s="462"/>
      <c r="H50" s="462"/>
      <c r="I50" s="462"/>
    </row>
  </sheetData>
  <mergeCells count="3">
    <mergeCell ref="A1:F1"/>
    <mergeCell ref="A2:H2"/>
    <mergeCell ref="A50:I50"/>
  </mergeCells>
  <conditionalFormatting sqref="B36:F38 B37:H37">
    <cfRule type="cellIs" dxfId="2" priority="3" operator="lessThan">
      <formula>0</formula>
    </cfRule>
  </conditionalFormatting>
  <conditionalFormatting sqref="G36:G38">
    <cfRule type="cellIs" dxfId="1" priority="2" operator="lessThan">
      <formula>0</formula>
    </cfRule>
  </conditionalFormatting>
  <conditionalFormatting sqref="H36:H38">
    <cfRule type="cellIs" dxfId="0" priority="1" operator="lessThan">
      <formula>0</formula>
    </cfRule>
  </conditionalFormatting>
  <pageMargins left="0.7" right="0.7" top="0.75" bottom="0.75" header="0.3" footer="0.3"/>
  <pageSetup scale="67" orientation="portrait" r:id="rId1"/>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4" baseType="variant">
      <vt:variant>
        <vt:lpstr>Worksheets</vt:lpstr>
      </vt:variant>
      <vt:variant>
        <vt:i4>25</vt:i4>
      </vt:variant>
      <vt:variant>
        <vt:lpstr>Named Ranges</vt:lpstr>
      </vt:variant>
      <vt:variant>
        <vt:i4>18</vt:i4>
      </vt:variant>
    </vt:vector>
  </HeadingPairs>
  <TitlesOfParts>
    <vt:vector size="43" baseType="lpstr">
      <vt:lpstr>Note for users</vt:lpstr>
      <vt:lpstr>1.Project Cost and MOF</vt:lpstr>
      <vt:lpstr>2.Capex Details</vt:lpstr>
      <vt:lpstr>3.Other Exp &amp; Taxes</vt:lpstr>
      <vt:lpstr>Sheet1</vt:lpstr>
      <vt:lpstr>4.TL repayment sch</vt:lpstr>
      <vt:lpstr>5.Closing Stock &amp; W Capital</vt:lpstr>
      <vt:lpstr>6.Cons Profit &amp; Loss</vt:lpstr>
      <vt:lpstr>7.Balance Sheet</vt:lpstr>
      <vt:lpstr>8.Cash Flow </vt:lpstr>
      <vt:lpstr>9.1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VGF</vt:lpstr>
      <vt:lpstr>Output</vt:lpstr>
      <vt:lpstr>Sheet2</vt:lpstr>
      <vt:lpstr>Benefit to farmer</vt:lpstr>
      <vt:lpstr>Sheet3</vt:lpstr>
      <vt:lpstr>New Production</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9.1 Financial indiacators!Print_Area</vt:lpstr>
      <vt:lpstr>Benefit to farmer!Print_Area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2022-09-12T04:26:44Z</dcterms:modified>
</cp:coreProperties>
</file>